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ТСЖ Московский 14\Планирование\"/>
    </mc:Choice>
  </mc:AlternateContent>
  <bookViews>
    <workbookView xWindow="0" yWindow="0" windowWidth="28800" windowHeight="12435"/>
  </bookViews>
  <sheets>
    <sheet name="Смета Расходов" sheetId="1" r:id="rId1"/>
    <sheet name="Распределение" sheetId="2" r:id="rId2"/>
  </sheets>
  <definedNames>
    <definedName name="_xlnm.Print_Titles" localSheetId="0">'Смета Расходов'!$5:$6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 l="1"/>
  <c r="I12" i="2" l="1"/>
  <c r="I11" i="2"/>
  <c r="I10" i="2"/>
  <c r="H12" i="2"/>
  <c r="H11" i="2"/>
  <c r="H10" i="2"/>
  <c r="G12" i="2"/>
  <c r="G11" i="2"/>
  <c r="G10" i="2"/>
  <c r="F12" i="2"/>
  <c r="F11" i="2"/>
  <c r="F10" i="2"/>
  <c r="E12" i="2"/>
  <c r="E10" i="2"/>
  <c r="E11" i="2"/>
  <c r="D12" i="2"/>
  <c r="D11" i="2"/>
  <c r="D10" i="2"/>
  <c r="D8" i="2"/>
  <c r="F84" i="1" l="1"/>
  <c r="G78" i="1" l="1"/>
  <c r="H80" i="1"/>
  <c r="J84" i="1"/>
  <c r="I84" i="1"/>
  <c r="H84" i="1"/>
  <c r="J78" i="1"/>
  <c r="H78" i="1"/>
  <c r="I79" i="1"/>
  <c r="J8" i="1"/>
  <c r="J9" i="1" s="1"/>
  <c r="I8" i="1"/>
  <c r="I9" i="1" s="1"/>
  <c r="H8" i="1"/>
  <c r="H9" i="1" s="1"/>
  <c r="G81" i="1" l="1"/>
  <c r="E59" i="1"/>
  <c r="F41" i="1"/>
  <c r="G41" i="1" s="1"/>
  <c r="F82" i="1"/>
  <c r="G82" i="1" s="1"/>
  <c r="G68" i="1"/>
  <c r="G67" i="1"/>
  <c r="E35" i="1"/>
  <c r="G35" i="1" s="1"/>
  <c r="F26" i="1"/>
  <c r="G26" i="1" s="1"/>
  <c r="E24" i="1"/>
  <c r="E25" i="1" s="1"/>
  <c r="F25" i="1" s="1"/>
  <c r="G25" i="1" s="1"/>
  <c r="G28" i="1" l="1"/>
  <c r="G27" i="1"/>
  <c r="E63" i="1"/>
  <c r="G63" i="1" s="1"/>
  <c r="G59" i="1"/>
  <c r="G60" i="1"/>
  <c r="E58" i="1"/>
  <c r="G58" i="1" s="1"/>
  <c r="E52" i="1"/>
  <c r="F52" i="1" s="1"/>
  <c r="G52" i="1" s="1"/>
  <c r="D49" i="1"/>
  <c r="E51" i="1"/>
  <c r="F51" i="1" s="1"/>
  <c r="G51" i="1" s="1"/>
  <c r="E50" i="1"/>
  <c r="F50" i="1" s="1"/>
  <c r="E16" i="1"/>
  <c r="I16" i="1" s="1"/>
  <c r="I15" i="1" s="1"/>
  <c r="F29" i="1"/>
  <c r="F57" i="1"/>
  <c r="G50" i="1" l="1"/>
  <c r="F49" i="1"/>
  <c r="G49" i="1" s="1"/>
  <c r="D36" i="1"/>
  <c r="G36" i="1" s="1"/>
  <c r="D37" i="1"/>
  <c r="G37" i="1" s="1"/>
  <c r="H16" i="1"/>
  <c r="H15" i="1" s="1"/>
  <c r="J16" i="1"/>
  <c r="J15" i="1" s="1"/>
  <c r="G57" i="1"/>
  <c r="E20" i="1"/>
  <c r="D20" i="1"/>
  <c r="E21" i="1"/>
  <c r="D21" i="1"/>
  <c r="E33" i="1"/>
  <c r="D24" i="1"/>
  <c r="F24" i="1" s="1"/>
  <c r="G24" i="1" s="1"/>
  <c r="F19" i="1"/>
  <c r="D34" i="1"/>
  <c r="G23" i="1" l="1"/>
  <c r="F48" i="1"/>
  <c r="G48" i="1"/>
  <c r="F20" i="1"/>
  <c r="G20" i="1" s="1"/>
  <c r="G19" i="1"/>
  <c r="F23" i="1"/>
  <c r="F34" i="1"/>
  <c r="G34" i="1" s="1"/>
  <c r="F21" i="1"/>
  <c r="G21" i="1" s="1"/>
  <c r="D7" i="1"/>
  <c r="D54" i="1" s="1"/>
  <c r="D55" i="1" s="1"/>
  <c r="F55" i="1" s="1"/>
  <c r="G55" i="1" s="1"/>
  <c r="F54" i="1" l="1"/>
  <c r="D69" i="1"/>
  <c r="D70" i="1" s="1"/>
  <c r="F18" i="1"/>
  <c r="D72" i="1"/>
  <c r="D85" i="1"/>
  <c r="D77" i="1" s="1"/>
  <c r="D44" i="1"/>
  <c r="G44" i="1" s="1"/>
  <c r="G54" i="1" l="1"/>
  <c r="F53" i="1"/>
  <c r="F77" i="1"/>
  <c r="G77" i="1" s="1"/>
  <c r="D80" i="1"/>
  <c r="G22" i="1"/>
  <c r="G18" i="1" l="1"/>
  <c r="F80" i="1"/>
  <c r="G80" i="1"/>
  <c r="G75" i="1" s="1"/>
  <c r="G85" i="1" s="1"/>
  <c r="G53" i="1"/>
  <c r="F7" i="1" l="1"/>
  <c r="F70" i="1"/>
  <c r="G70" i="1" s="1"/>
  <c r="F69" i="1"/>
  <c r="G45" i="1"/>
  <c r="F66" i="1" l="1"/>
  <c r="L9" i="1"/>
  <c r="L7" i="1"/>
  <c r="L8" i="1"/>
  <c r="H45" i="1"/>
  <c r="J45" i="1"/>
  <c r="I45" i="1"/>
  <c r="G40" i="1"/>
  <c r="G7" i="1"/>
  <c r="J62" i="1"/>
  <c r="I61" i="1"/>
  <c r="I46" i="1"/>
  <c r="J43" i="1"/>
  <c r="I42" i="1"/>
  <c r="J38" i="1"/>
  <c r="J30" i="1"/>
  <c r="J29" i="1" s="1"/>
  <c r="I62" i="1"/>
  <c r="H61" i="1"/>
  <c r="H46" i="1"/>
  <c r="I43" i="1"/>
  <c r="H42" i="1"/>
  <c r="I30" i="1"/>
  <c r="I29" i="1" s="1"/>
  <c r="H62" i="1"/>
  <c r="I38" i="1"/>
  <c r="F9" i="1"/>
  <c r="H43" i="1"/>
  <c r="H30" i="1"/>
  <c r="H29" i="1" s="1"/>
  <c r="G9" i="1"/>
  <c r="J61" i="1"/>
  <c r="H38" i="1"/>
  <c r="J46" i="1"/>
  <c r="J42" i="1"/>
  <c r="J41" i="1"/>
  <c r="J35" i="1"/>
  <c r="H67" i="1"/>
  <c r="I41" i="1"/>
  <c r="J68" i="1"/>
  <c r="J81" i="1"/>
  <c r="I26" i="1"/>
  <c r="H35" i="1"/>
  <c r="H41" i="1"/>
  <c r="J25" i="1"/>
  <c r="H68" i="1"/>
  <c r="J26" i="1"/>
  <c r="I67" i="1"/>
  <c r="H25" i="1"/>
  <c r="I81" i="1"/>
  <c r="H26" i="1"/>
  <c r="I35" i="1"/>
  <c r="J67" i="1"/>
  <c r="I25" i="1"/>
  <c r="I68" i="1"/>
  <c r="H81" i="1"/>
  <c r="H60" i="1"/>
  <c r="I28" i="1"/>
  <c r="I63" i="1"/>
  <c r="H58" i="1"/>
  <c r="I51" i="1"/>
  <c r="J59" i="1"/>
  <c r="H52" i="1"/>
  <c r="J60" i="1"/>
  <c r="J28" i="1"/>
  <c r="H63" i="1"/>
  <c r="H27" i="1"/>
  <c r="H51" i="1"/>
  <c r="H59" i="1"/>
  <c r="I60" i="1"/>
  <c r="J58" i="1"/>
  <c r="I27" i="1"/>
  <c r="J51" i="1"/>
  <c r="J52" i="1"/>
  <c r="J63" i="1"/>
  <c r="I58" i="1"/>
  <c r="I59" i="1"/>
  <c r="I52" i="1"/>
  <c r="H28" i="1"/>
  <c r="J27" i="1"/>
  <c r="J49" i="1"/>
  <c r="H37" i="1"/>
  <c r="I24" i="1"/>
  <c r="I23" i="1" s="1"/>
  <c r="I50" i="1"/>
  <c r="I49" i="1"/>
  <c r="J37" i="1"/>
  <c r="H24" i="1"/>
  <c r="H23" i="1" s="1"/>
  <c r="H36" i="1"/>
  <c r="H49" i="1"/>
  <c r="H50" i="1"/>
  <c r="J36" i="1"/>
  <c r="I37" i="1"/>
  <c r="J24" i="1"/>
  <c r="J50" i="1"/>
  <c r="I36" i="1"/>
  <c r="J34" i="1"/>
  <c r="H55" i="1"/>
  <c r="I19" i="1"/>
  <c r="H21" i="1"/>
  <c r="I34" i="1"/>
  <c r="J55" i="1"/>
  <c r="H20" i="1"/>
  <c r="H34" i="1"/>
  <c r="J19" i="1"/>
  <c r="I21" i="1"/>
  <c r="I20" i="1"/>
  <c r="I55" i="1"/>
  <c r="H19" i="1"/>
  <c r="J21" i="1"/>
  <c r="J20" i="1"/>
  <c r="I44" i="1"/>
  <c r="J44" i="1"/>
  <c r="H44" i="1"/>
  <c r="J22" i="1"/>
  <c r="J77" i="1"/>
  <c r="J75" i="1" s="1"/>
  <c r="H22" i="1"/>
  <c r="H77" i="1"/>
  <c r="H75" i="1" s="1"/>
  <c r="H54" i="1"/>
  <c r="I22" i="1"/>
  <c r="I77" i="1"/>
  <c r="J54" i="1"/>
  <c r="J53" i="1" s="1"/>
  <c r="I54" i="1"/>
  <c r="H70" i="1"/>
  <c r="J70" i="1"/>
  <c r="I70" i="1"/>
  <c r="F71" i="1"/>
  <c r="G71" i="1" s="1"/>
  <c r="G66" i="1"/>
  <c r="D16" i="1"/>
  <c r="F16" i="1" s="1"/>
  <c r="F40" i="1"/>
  <c r="D30" i="1"/>
  <c r="G29" i="1" s="1"/>
  <c r="D33" i="1"/>
  <c r="F33" i="1" s="1"/>
  <c r="G69" i="1"/>
  <c r="F65" i="1" l="1"/>
  <c r="H53" i="1"/>
  <c r="I71" i="1"/>
  <c r="H71" i="1"/>
  <c r="J71" i="1"/>
  <c r="H66" i="1"/>
  <c r="J66" i="1"/>
  <c r="I66" i="1"/>
  <c r="J57" i="1"/>
  <c r="I40" i="1"/>
  <c r="I18" i="1"/>
  <c r="J69" i="1"/>
  <c r="I69" i="1"/>
  <c r="H69" i="1"/>
  <c r="J23" i="1"/>
  <c r="H48" i="1"/>
  <c r="I48" i="1"/>
  <c r="J48" i="1"/>
  <c r="I53" i="1"/>
  <c r="I75" i="1"/>
  <c r="H18" i="1"/>
  <c r="J18" i="1"/>
  <c r="I57" i="1"/>
  <c r="H57" i="1"/>
  <c r="H40" i="1"/>
  <c r="J40" i="1"/>
  <c r="G65" i="1"/>
  <c r="G33" i="1"/>
  <c r="F32" i="1"/>
  <c r="G16" i="1"/>
  <c r="G15" i="1" s="1"/>
  <c r="F15" i="1"/>
  <c r="H65" i="1" l="1"/>
  <c r="I33" i="1"/>
  <c r="I32" i="1" s="1"/>
  <c r="H33" i="1"/>
  <c r="H32" i="1" s="1"/>
  <c r="H13" i="1" s="1"/>
  <c r="H11" i="1" s="1"/>
  <c r="J33" i="1"/>
  <c r="J32" i="1" s="1"/>
  <c r="J13" i="1" s="1"/>
  <c r="J11" i="1" s="1"/>
  <c r="G32" i="1"/>
  <c r="G13" i="1" s="1"/>
  <c r="I65" i="1"/>
  <c r="I13" i="1" s="1"/>
  <c r="I11" i="1" s="1"/>
  <c r="J65" i="1"/>
  <c r="G72" i="1" l="1"/>
  <c r="G88" i="1" s="1"/>
  <c r="G11" i="1"/>
  <c r="F13" i="1" l="1"/>
  <c r="F11" i="1" s="1"/>
</calcChain>
</file>

<file path=xl/sharedStrings.xml><?xml version="1.0" encoding="utf-8"?>
<sst xmlns="http://schemas.openxmlformats.org/spreadsheetml/2006/main" count="227" uniqueCount="182">
  <si>
    <t>Смета</t>
  </si>
  <si>
    <t>расходов на содержание общего имущества</t>
  </si>
  <si>
    <t>№ п/п</t>
  </si>
  <si>
    <t>Статьи расходов</t>
  </si>
  <si>
    <t>Ед. изм.</t>
  </si>
  <si>
    <t>Кол-во</t>
  </si>
  <si>
    <t>Цена за ед.</t>
  </si>
  <si>
    <t xml:space="preserve">Сумма в месяц (в руб.) </t>
  </si>
  <si>
    <t>Сумма всего</t>
  </si>
  <si>
    <t>в том числе:</t>
  </si>
  <si>
    <t xml:space="preserve"> 1.1.</t>
  </si>
  <si>
    <t>Аварийно-диспетчерское обслуживание</t>
  </si>
  <si>
    <r>
      <t>м</t>
    </r>
    <r>
      <rPr>
        <vertAlign val="superscript"/>
        <sz val="11"/>
        <rFont val="Arial"/>
        <family val="2"/>
        <charset val="204"/>
      </rPr>
      <t>2</t>
    </r>
  </si>
  <si>
    <t xml:space="preserve"> 1.2.</t>
  </si>
  <si>
    <t>Содержание и обслуживание лифтов</t>
  </si>
  <si>
    <t>лифт</t>
  </si>
  <si>
    <t xml:space="preserve"> 1.3.</t>
  </si>
  <si>
    <t>Освидетельствование лифтов</t>
  </si>
  <si>
    <t xml:space="preserve"> 1.4.</t>
  </si>
  <si>
    <t xml:space="preserve"> 1.6.</t>
  </si>
  <si>
    <t>Механизированная уборка снега зимой</t>
  </si>
  <si>
    <t xml:space="preserve"> 1.7.</t>
  </si>
  <si>
    <t>Уборка контейнерных площадок</t>
  </si>
  <si>
    <t xml:space="preserve"> 1.8.</t>
  </si>
  <si>
    <r>
      <t>м</t>
    </r>
    <r>
      <rPr>
        <vertAlign val="superscript"/>
        <sz val="11"/>
        <rFont val="Arial"/>
        <family val="2"/>
        <charset val="204"/>
      </rPr>
      <t>3</t>
    </r>
  </si>
  <si>
    <t xml:space="preserve"> 1.9.</t>
  </si>
  <si>
    <t>Плановое ежемесячное обслуживание инженерных сетей</t>
  </si>
  <si>
    <t>Обслуживание ВДГО (трубопроводы в подъезде и стояки)</t>
  </si>
  <si>
    <t>Подготовка дома к эксплуатации в зимний период</t>
  </si>
  <si>
    <t>Кошение травы</t>
  </si>
  <si>
    <t>Электроэнергия на ОДН</t>
  </si>
  <si>
    <t>кВтчас</t>
  </si>
  <si>
    <t>Вознаграждение Председателю Правления</t>
  </si>
  <si>
    <t>Вознаграждение членам Правления</t>
  </si>
  <si>
    <t>Отчисления с вознаграждения Правления</t>
  </si>
  <si>
    <t>Итого на 1 м2 в месяц</t>
  </si>
  <si>
    <t xml:space="preserve"> 2.1.</t>
  </si>
  <si>
    <t xml:space="preserve"> 2.2.</t>
  </si>
  <si>
    <t>Ремонт кровли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</si>
  <si>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</si>
  <si>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</si>
  <si>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</si>
  <si>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</si>
  <si>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</si>
  <si>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Итого на 1 м2 в месяц (с 01.01.2014 по 31.12.2015г.)</t>
  </si>
  <si>
    <t xml:space="preserve">Итого тариф на содержание и обслуживание с 1 м2 </t>
  </si>
  <si>
    <t>Московский 14</t>
  </si>
  <si>
    <t>Московский 14 кор. 2</t>
  </si>
  <si>
    <t>Московский 14 кор 3</t>
  </si>
  <si>
    <t>Содержание и обслуживание общего имущества  (на 2016 год) всего:</t>
  </si>
  <si>
    <t>в том числе по домам:</t>
  </si>
  <si>
    <t>Вывоз ТБО из контейнеров</t>
  </si>
  <si>
    <t>Вывоз крупногабаритных ТБО</t>
  </si>
  <si>
    <t>Содержание помещений общего пользования</t>
  </si>
  <si>
    <t>Начисляемая площадь</t>
  </si>
  <si>
    <t>Сумма на год всего по ТСЖ</t>
  </si>
  <si>
    <t>Содержание дворовой территории</t>
  </si>
  <si>
    <r>
      <t>м</t>
    </r>
    <r>
      <rPr>
        <b/>
        <vertAlign val="superscript"/>
        <sz val="11"/>
        <rFont val="Arial"/>
        <family val="2"/>
        <charset val="204"/>
      </rPr>
      <t>2</t>
    </r>
  </si>
  <si>
    <t>Замена запорной арматуры на стояках ц/о</t>
  </si>
  <si>
    <t>Промывка системы ц/о гидропневматическим способом</t>
  </si>
  <si>
    <t>Гидравлические испытания системы ц/о</t>
  </si>
  <si>
    <t>Работы выполняемые при проверке готовности системы ц/о к отопительному периоду комиссией</t>
  </si>
  <si>
    <t>Изоляция трубопроводов системы ц/о</t>
  </si>
  <si>
    <t>Ремонт и утепление теплового контура (входы в подъезды, выходы на кровлю, остекление подъездов, подвальных помещений)</t>
  </si>
  <si>
    <t>Уборка дворовой территории от случайного мусора</t>
  </si>
  <si>
    <t>Очистка от снега выходов из подъездов и тротуаров в зимнее время</t>
  </si>
  <si>
    <t>Дизенсекция и дератизация подвалов и техэтажей</t>
  </si>
  <si>
    <t>Очистка подвалов от мусора и отходов канализации с подсыпкой пола песком</t>
  </si>
  <si>
    <t>Текущий ремонт  (в 2016 году) всего:</t>
  </si>
  <si>
    <t>Влажное подметание подъездов с обметанием пыли с потолков и протиркой перил</t>
  </si>
  <si>
    <t>1 уборка</t>
  </si>
  <si>
    <t>Подметание лифтов</t>
  </si>
  <si>
    <t>Мытье лифтов</t>
  </si>
  <si>
    <t>1 раз</t>
  </si>
  <si>
    <t xml:space="preserve">Вывоз ТБО </t>
  </si>
  <si>
    <t>Мытье подъездов</t>
  </si>
  <si>
    <t>Кол-во в месяц</t>
  </si>
  <si>
    <t>Услуги по ведению бухгалтерского и налогового учета и сдачу отчетности</t>
  </si>
  <si>
    <t xml:space="preserve">Расходы на содержание помещения </t>
  </si>
  <si>
    <t>Банковские расходы</t>
  </si>
  <si>
    <t>Укрепление и утепление входных дверей в подвалы и на техэтажи</t>
  </si>
  <si>
    <t>Подметание выходов из подъездов и тротуаров в летнее время</t>
  </si>
  <si>
    <t xml:space="preserve"> 1.2.1</t>
  </si>
  <si>
    <t xml:space="preserve"> 1.2.2</t>
  </si>
  <si>
    <t xml:space="preserve"> 1.2.3</t>
  </si>
  <si>
    <t xml:space="preserve"> 1.2.4</t>
  </si>
  <si>
    <t xml:space="preserve"> 1.3.1</t>
  </si>
  <si>
    <t xml:space="preserve"> 1.3.2</t>
  </si>
  <si>
    <t>Ремонт и окраска контейнеров</t>
  </si>
  <si>
    <t>Дизенфекция контейнеров</t>
  </si>
  <si>
    <t xml:space="preserve"> 1.3.3</t>
  </si>
  <si>
    <t xml:space="preserve"> 1.3.4</t>
  </si>
  <si>
    <t xml:space="preserve"> 1.4.1</t>
  </si>
  <si>
    <t xml:space="preserve"> 1.4.2</t>
  </si>
  <si>
    <t>1.5.</t>
  </si>
  <si>
    <t xml:space="preserve"> 1.5.1</t>
  </si>
  <si>
    <t xml:space="preserve"> 1.5.2</t>
  </si>
  <si>
    <t xml:space="preserve"> 1.5.3</t>
  </si>
  <si>
    <t xml:space="preserve"> 1.5.4</t>
  </si>
  <si>
    <t xml:space="preserve"> 1.5.5</t>
  </si>
  <si>
    <t xml:space="preserve"> 1.5.6</t>
  </si>
  <si>
    <t xml:space="preserve"> 1.5.7</t>
  </si>
  <si>
    <t xml:space="preserve"> 1.6.1</t>
  </si>
  <si>
    <t xml:space="preserve"> 1.6.2</t>
  </si>
  <si>
    <t xml:space="preserve"> 1.6.3</t>
  </si>
  <si>
    <t xml:space="preserve"> 1.6.4</t>
  </si>
  <si>
    <t xml:space="preserve"> 1.6.5</t>
  </si>
  <si>
    <t xml:space="preserve"> 1.6.6</t>
  </si>
  <si>
    <t xml:space="preserve"> 1.6.7</t>
  </si>
  <si>
    <t xml:space="preserve"> 1.7.1</t>
  </si>
  <si>
    <t xml:space="preserve"> 1.7.2</t>
  </si>
  <si>
    <t xml:space="preserve"> 1.8.1</t>
  </si>
  <si>
    <t xml:space="preserve"> 1.8.2</t>
  </si>
  <si>
    <t xml:space="preserve"> 1.8.3</t>
  </si>
  <si>
    <t xml:space="preserve"> 1.9.1</t>
  </si>
  <si>
    <t xml:space="preserve"> 1.9.2</t>
  </si>
  <si>
    <t xml:space="preserve"> 1.9.3</t>
  </si>
  <si>
    <t xml:space="preserve"> 1.9.4</t>
  </si>
  <si>
    <t xml:space="preserve"> 1.9.5</t>
  </si>
  <si>
    <t xml:space="preserve"> 1.9.6</t>
  </si>
  <si>
    <t xml:space="preserve"> 1.9.7</t>
  </si>
  <si>
    <t>шт</t>
  </si>
  <si>
    <t>руб</t>
  </si>
  <si>
    <t>м2</t>
  </si>
  <si>
    <t>Промывка выпусков канализации ( с прочисткой при необходимости)</t>
  </si>
  <si>
    <t>Обслуживание ВРУ (очистка, протяжка соединений с заменой арматуры при необходимости)</t>
  </si>
  <si>
    <t>Осмотры инженерного оборудования в подвале с устранением мелких неисправностей</t>
  </si>
  <si>
    <t>Осмотры инженерных сетей и конструкций в подъездах с планированием работ по устранению выявленных неисправностей</t>
  </si>
  <si>
    <t>Устранение неисправностей инженерных сетей и конструкций (окна, двери, перила, светильники и т.д.)</t>
  </si>
  <si>
    <t>Ремонт элеваторных узлов без замены запорной арматуры</t>
  </si>
  <si>
    <t>1 раз в год</t>
  </si>
  <si>
    <t>эл.</t>
  </si>
  <si>
    <t>ч/ч</t>
  </si>
  <si>
    <t>Аварийно диспетчерское обслуживание по тарифу</t>
  </si>
  <si>
    <r>
      <t>м</t>
    </r>
    <r>
      <rPr>
        <vertAlign val="superscript"/>
        <sz val="11"/>
        <rFont val="Arial"/>
        <family val="2"/>
        <charset val="204"/>
      </rPr>
      <t>2</t>
    </r>
  </si>
  <si>
    <t>2 раза в год</t>
  </si>
  <si>
    <t>Расходы на ведение лицевых счетов и печати квитанций</t>
  </si>
  <si>
    <t>Смена запорной арматуры в системе ГВС, ХВС</t>
  </si>
  <si>
    <t>м*час</t>
  </si>
  <si>
    <t>Содержание и очистка мусорокамер</t>
  </si>
  <si>
    <t xml:space="preserve"> 1.3.5</t>
  </si>
  <si>
    <t>1 л/к</t>
  </si>
  <si>
    <t>Ремонт 1 подъезда Московский 14 кор. 2</t>
  </si>
  <si>
    <t>Оборудование детского городка</t>
  </si>
  <si>
    <t xml:space="preserve"> 1.7.3</t>
  </si>
  <si>
    <t xml:space="preserve"> 1.7.4</t>
  </si>
  <si>
    <t>Непредвиденный ремонт</t>
  </si>
  <si>
    <t>Услуги по ведению лицевых счетов и приему платежей собственников и нанимателей</t>
  </si>
  <si>
    <t xml:space="preserve"> 1.10.</t>
  </si>
  <si>
    <t xml:space="preserve"> 1.10.1</t>
  </si>
  <si>
    <t xml:space="preserve"> 1.10.2</t>
  </si>
  <si>
    <t xml:space="preserve"> 1.10.3</t>
  </si>
  <si>
    <t xml:space="preserve"> 1.10.4</t>
  </si>
  <si>
    <t xml:space="preserve"> 1.10.5</t>
  </si>
  <si>
    <t xml:space="preserve"> 1.10.6</t>
  </si>
  <si>
    <t>Плановая сумма взносов на содержание и ремонт общего имущества</t>
  </si>
  <si>
    <t>Начисляемая сумма взносов на содержание и текущий ремонт:</t>
  </si>
  <si>
    <t>Установленный размер взносов на 2016 год:</t>
  </si>
  <si>
    <t>70 в год</t>
  </si>
  <si>
    <t>Услуги связи и Канцелярские расходы</t>
  </si>
  <si>
    <t xml:space="preserve"> 2.8.</t>
  </si>
  <si>
    <t>Ремонт швов</t>
  </si>
  <si>
    <t>м п</t>
  </si>
  <si>
    <t>ТСЖ "Теплый ключ"</t>
  </si>
  <si>
    <t>Московский 14 корпус 2</t>
  </si>
  <si>
    <t>Московский 14 корпус 3</t>
  </si>
  <si>
    <t xml:space="preserve">Площадь </t>
  </si>
  <si>
    <t>Распределение</t>
  </si>
  <si>
    <t>Покраска детского оборудования</t>
  </si>
  <si>
    <t>Закрытие на замок мусорокамер</t>
  </si>
  <si>
    <t>Уборка двора</t>
  </si>
  <si>
    <t>Заправка картриджа</t>
  </si>
  <si>
    <t>Канцрасходы</t>
  </si>
  <si>
    <t>Расчет</t>
  </si>
  <si>
    <t xml:space="preserve">распределения </t>
  </si>
  <si>
    <t>общепроизводственных и общехозяйственных расходов</t>
  </si>
  <si>
    <t>Исполнитель:                                               В.А.Мауринов</t>
  </si>
  <si>
    <t>ТСЖ "Теплый ключ" на 2016 год.</t>
  </si>
  <si>
    <r>
      <t xml:space="preserve">Управленческие расходы (включая содержание Правления ТСЖ) </t>
    </r>
    <r>
      <rPr>
        <b/>
        <sz val="12"/>
        <rFont val="Arial"/>
        <family val="2"/>
        <charset val="204"/>
      </rPr>
      <t>= 9,05% от суммы годовых расходов</t>
    </r>
  </si>
  <si>
    <t>Председатель Правления ТСЖ "Теплый ключ"</t>
  </si>
  <si>
    <t>Казанцева М.Б.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</si>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</sst>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р_."/>
    <numFmt numFmtId="165" formatCode="#,##0.00\ _₽"/>
  </numFmts>
  <fonts count="12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vertAlign val="superscript"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vertAlign val="superscript"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29">
    <xf numFmtId="0" fontId="0" fillId="0" borderId="0" xfId="0" applyAlignment="1"/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vertical="top"/>
    </xf>
    <xf numFmtId="164" fontId="1" fillId="0" borderId="4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vertical="top"/>
    </xf>
    <xf numFmtId="0" fontId="2" fillId="0" borderId="4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vertical="top" wrapText="1"/>
    </xf>
    <xf numFmtId="0" fontId="1" fillId="0" borderId="6" xfId="0" applyNumberFormat="1" applyFont="1" applyFill="1" applyBorder="1" applyAlignment="1" applyProtection="1">
      <alignment vertical="top"/>
    </xf>
    <xf numFmtId="0" fontId="1" fillId="0" borderId="7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4" xfId="0" applyNumberFormat="1" applyFont="1" applyFill="1" applyBorder="1" applyAlignment="1" applyProtection="1">
      <alignment vertical="top"/>
    </xf>
    <xf numFmtId="0" fontId="4" fillId="0" borderId="4" xfId="0" applyNumberFormat="1" applyFont="1" applyFill="1" applyBorder="1" applyAlignment="1" applyProtection="1">
      <alignment vertical="top"/>
    </xf>
    <xf numFmtId="0" fontId="1" fillId="0" borderId="16" xfId="0" applyNumberFormat="1" applyFont="1" applyFill="1" applyBorder="1" applyAlignment="1" applyProtection="1">
      <alignment vertical="top"/>
    </xf>
    <xf numFmtId="0" fontId="4" fillId="0" borderId="17" xfId="0" applyNumberFormat="1" applyFont="1" applyFill="1" applyBorder="1" applyAlignment="1" applyProtection="1">
      <alignment vertical="top"/>
    </xf>
    <xf numFmtId="0" fontId="1" fillId="0" borderId="17" xfId="0" applyNumberFormat="1" applyFont="1" applyFill="1" applyBorder="1" applyAlignment="1" applyProtection="1">
      <alignment vertical="top"/>
    </xf>
    <xf numFmtId="0" fontId="0" fillId="0" borderId="0" xfId="0" applyAlignment="1">
      <alignment vertical="top"/>
    </xf>
    <xf numFmtId="4" fontId="1" fillId="0" borderId="4" xfId="0" applyNumberFormat="1" applyFont="1" applyFill="1" applyBorder="1" applyAlignment="1" applyProtection="1">
      <alignment vertical="top"/>
    </xf>
    <xf numFmtId="0" fontId="5" fillId="0" borderId="3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4" fillId="0" borderId="3" xfId="0" applyNumberFormat="1" applyFont="1" applyFill="1" applyBorder="1" applyAlignment="1" applyProtection="1">
      <alignment vertical="top"/>
    </xf>
    <xf numFmtId="0" fontId="4" fillId="0" borderId="4" xfId="0" applyNumberFormat="1" applyFont="1" applyFill="1" applyBorder="1" applyAlignment="1" applyProtection="1">
      <alignment vertical="top" wrapText="1"/>
    </xf>
    <xf numFmtId="4" fontId="5" fillId="0" borderId="4" xfId="0" applyNumberFormat="1" applyFont="1" applyFill="1" applyBorder="1" applyAlignment="1" applyProtection="1">
      <alignment vertical="top"/>
    </xf>
    <xf numFmtId="164" fontId="5" fillId="0" borderId="4" xfId="0" applyNumberFormat="1" applyFont="1" applyFill="1" applyBorder="1" applyAlignment="1" applyProtection="1">
      <alignment vertical="top"/>
    </xf>
    <xf numFmtId="0" fontId="5" fillId="0" borderId="4" xfId="0" applyNumberFormat="1" applyFont="1" applyFill="1" applyBorder="1" applyAlignment="1" applyProtection="1">
      <alignment vertical="top" wrapText="1"/>
    </xf>
    <xf numFmtId="0" fontId="1" fillId="0" borderId="6" xfId="0" applyNumberFormat="1" applyFont="1" applyFill="1" applyBorder="1" applyAlignment="1" applyProtection="1">
      <alignment horizontal="center" vertical="top"/>
    </xf>
    <xf numFmtId="0" fontId="1" fillId="0" borderId="7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horizontal="center" vertical="top" wrapText="1"/>
    </xf>
    <xf numFmtId="43" fontId="1" fillId="0" borderId="0" xfId="0" applyNumberFormat="1" applyFont="1" applyFill="1" applyBorder="1" applyAlignment="1" applyProtection="1">
      <alignment vertical="top"/>
    </xf>
    <xf numFmtId="43" fontId="0" fillId="0" borderId="0" xfId="0" applyNumberFormat="1" applyAlignment="1">
      <alignment vertical="top"/>
    </xf>
    <xf numFmtId="43" fontId="1" fillId="0" borderId="2" xfId="0" applyNumberFormat="1" applyFont="1" applyFill="1" applyBorder="1" applyAlignment="1" applyProtection="1">
      <alignment horizontal="center" vertical="top"/>
    </xf>
    <xf numFmtId="43" fontId="1" fillId="0" borderId="2" xfId="0" applyNumberFormat="1" applyFont="1" applyFill="1" applyBorder="1" applyAlignment="1" applyProtection="1">
      <alignment horizontal="center" vertical="top" wrapText="1"/>
    </xf>
    <xf numFmtId="43" fontId="4" fillId="0" borderId="15" xfId="0" applyNumberFormat="1" applyFont="1" applyFill="1" applyBorder="1" applyAlignment="1" applyProtection="1">
      <alignment horizontal="center" vertical="top" wrapText="1"/>
    </xf>
    <xf numFmtId="43" fontId="1" fillId="0" borderId="7" xfId="0" applyNumberFormat="1" applyFont="1" applyFill="1" applyBorder="1" applyAlignment="1" applyProtection="1">
      <alignment horizontal="center" vertical="top"/>
    </xf>
    <xf numFmtId="43" fontId="1" fillId="0" borderId="14" xfId="0" applyNumberFormat="1" applyFont="1" applyFill="1" applyBorder="1" applyAlignment="1" applyProtection="1">
      <alignment horizontal="center" vertical="top" wrapText="1"/>
    </xf>
    <xf numFmtId="43" fontId="4" fillId="0" borderId="9" xfId="0" applyNumberFormat="1" applyFont="1" applyFill="1" applyBorder="1" applyAlignment="1" applyProtection="1">
      <alignment horizontal="center" vertical="top" wrapText="1"/>
    </xf>
    <xf numFmtId="43" fontId="4" fillId="0" borderId="9" xfId="0" applyNumberFormat="1" applyFont="1" applyBorder="1" applyAlignment="1">
      <alignment horizontal="center" vertical="top" wrapText="1"/>
    </xf>
    <xf numFmtId="43" fontId="1" fillId="0" borderId="17" xfId="0" applyNumberFormat="1" applyFont="1" applyFill="1" applyBorder="1" applyAlignment="1" applyProtection="1">
      <alignment vertical="top"/>
    </xf>
    <xf numFmtId="43" fontId="1" fillId="0" borderId="18" xfId="0" applyNumberFormat="1" applyFont="1" applyFill="1" applyBorder="1" applyAlignment="1" applyProtection="1">
      <alignment vertical="top"/>
    </xf>
    <xf numFmtId="43" fontId="4" fillId="0" borderId="16" xfId="0" applyNumberFormat="1" applyFont="1" applyFill="1" applyBorder="1" applyAlignment="1" applyProtection="1">
      <alignment vertical="top"/>
    </xf>
    <xf numFmtId="43" fontId="4" fillId="0" borderId="17" xfId="0" applyNumberFormat="1" applyFont="1" applyFill="1" applyBorder="1" applyAlignment="1" applyProtection="1">
      <alignment vertical="top"/>
    </xf>
    <xf numFmtId="43" fontId="1" fillId="0" borderId="4" xfId="0" applyNumberFormat="1" applyFont="1" applyFill="1" applyBorder="1" applyAlignment="1" applyProtection="1">
      <alignment vertical="top"/>
    </xf>
    <xf numFmtId="43" fontId="1" fillId="0" borderId="13" xfId="0" applyNumberFormat="1" applyFont="1" applyFill="1" applyBorder="1" applyAlignment="1" applyProtection="1">
      <alignment vertical="top"/>
    </xf>
    <xf numFmtId="43" fontId="4" fillId="0" borderId="3" xfId="0" applyNumberFormat="1" applyFont="1" applyFill="1" applyBorder="1" applyAlignment="1" applyProtection="1">
      <alignment vertical="top"/>
    </xf>
    <xf numFmtId="43" fontId="4" fillId="0" borderId="4" xfId="0" applyNumberFormat="1" applyFont="1" applyFill="1" applyBorder="1" applyAlignment="1" applyProtection="1">
      <alignment vertical="top"/>
    </xf>
    <xf numFmtId="43" fontId="5" fillId="0" borderId="4" xfId="0" applyNumberFormat="1" applyFont="1" applyFill="1" applyBorder="1" applyAlignment="1" applyProtection="1">
      <alignment vertical="top"/>
    </xf>
    <xf numFmtId="43" fontId="5" fillId="0" borderId="13" xfId="0" applyNumberFormat="1" applyFont="1" applyFill="1" applyBorder="1" applyAlignment="1" applyProtection="1">
      <alignment vertical="top"/>
    </xf>
    <xf numFmtId="43" fontId="5" fillId="0" borderId="3" xfId="0" applyNumberFormat="1" applyFont="1" applyFill="1" applyBorder="1" applyAlignment="1" applyProtection="1">
      <alignment vertical="top"/>
    </xf>
    <xf numFmtId="43" fontId="4" fillId="0" borderId="13" xfId="0" applyNumberFormat="1" applyFont="1" applyFill="1" applyBorder="1" applyAlignment="1" applyProtection="1">
      <alignment vertical="top"/>
    </xf>
    <xf numFmtId="43" fontId="2" fillId="0" borderId="4" xfId="0" applyNumberFormat="1" applyFont="1" applyFill="1" applyBorder="1" applyAlignment="1" applyProtection="1">
      <alignment vertical="top"/>
    </xf>
    <xf numFmtId="43" fontId="2" fillId="0" borderId="13" xfId="0" applyNumberFormat="1" applyFont="1" applyFill="1" applyBorder="1" applyAlignment="1" applyProtection="1">
      <alignment vertical="top"/>
    </xf>
    <xf numFmtId="43" fontId="1" fillId="0" borderId="7" xfId="0" applyNumberFormat="1" applyFont="1" applyFill="1" applyBorder="1" applyAlignment="1" applyProtection="1">
      <alignment vertical="top"/>
    </xf>
    <xf numFmtId="43" fontId="1" fillId="0" borderId="14" xfId="0" applyNumberFormat="1" applyFont="1" applyFill="1" applyBorder="1" applyAlignment="1" applyProtection="1">
      <alignment vertical="top"/>
    </xf>
    <xf numFmtId="164" fontId="4" fillId="0" borderId="4" xfId="0" applyNumberFormat="1" applyFont="1" applyFill="1" applyBorder="1" applyAlignment="1" applyProtection="1">
      <alignment vertical="top"/>
    </xf>
    <xf numFmtId="10" fontId="1" fillId="0" borderId="4" xfId="0" applyNumberFormat="1" applyFont="1" applyFill="1" applyBorder="1" applyAlignment="1" applyProtection="1">
      <alignment vertical="top"/>
    </xf>
    <xf numFmtId="43" fontId="4" fillId="0" borderId="19" xfId="0" applyNumberFormat="1" applyFont="1" applyBorder="1" applyAlignment="1">
      <alignment vertical="top"/>
    </xf>
    <xf numFmtId="43" fontId="4" fillId="0" borderId="5" xfId="0" applyNumberFormat="1" applyFont="1" applyBorder="1" applyAlignment="1">
      <alignment vertical="top"/>
    </xf>
    <xf numFmtId="43" fontId="5" fillId="0" borderId="5" xfId="0" applyNumberFormat="1" applyFont="1" applyBorder="1" applyAlignment="1">
      <alignment vertical="top"/>
    </xf>
    <xf numFmtId="43" fontId="5" fillId="0" borderId="5" xfId="0" applyNumberFormat="1" applyFont="1" applyFill="1" applyBorder="1" applyAlignment="1" applyProtection="1">
      <alignment vertical="top"/>
    </xf>
    <xf numFmtId="43" fontId="4" fillId="0" borderId="6" xfId="0" applyNumberFormat="1" applyFont="1" applyBorder="1" applyAlignment="1">
      <alignment vertical="top"/>
    </xf>
    <xf numFmtId="43" fontId="4" fillId="0" borderId="7" xfId="0" applyNumberFormat="1" applyFont="1" applyBorder="1" applyAlignment="1">
      <alignment vertical="top"/>
    </xf>
    <xf numFmtId="43" fontId="4" fillId="0" borderId="8" xfId="0" applyNumberFormat="1" applyFont="1" applyBorder="1" applyAlignment="1">
      <alignment vertical="top"/>
    </xf>
    <xf numFmtId="2" fontId="4" fillId="0" borderId="4" xfId="0" applyNumberFormat="1" applyFont="1" applyFill="1" applyBorder="1" applyAlignment="1" applyProtection="1">
      <alignment vertical="top"/>
    </xf>
    <xf numFmtId="2" fontId="1" fillId="0" borderId="4" xfId="0" applyNumberFormat="1" applyFont="1" applyFill="1" applyBorder="1" applyAlignment="1" applyProtection="1">
      <alignment vertical="top"/>
    </xf>
    <xf numFmtId="0" fontId="7" fillId="0" borderId="3" xfId="0" applyNumberFormat="1" applyFont="1" applyFill="1" applyBorder="1" applyAlignment="1" applyProtection="1">
      <alignment vertical="top"/>
    </xf>
    <xf numFmtId="0" fontId="7" fillId="0" borderId="4" xfId="0" applyNumberFormat="1" applyFont="1" applyFill="1" applyBorder="1" applyAlignment="1" applyProtection="1">
      <alignment vertical="top"/>
    </xf>
    <xf numFmtId="43" fontId="7" fillId="0" borderId="4" xfId="0" applyNumberFormat="1" applyFont="1" applyFill="1" applyBorder="1" applyAlignment="1" applyProtection="1">
      <alignment vertical="top"/>
    </xf>
    <xf numFmtId="43" fontId="7" fillId="0" borderId="13" xfId="0" applyNumberFormat="1" applyFont="1" applyFill="1" applyBorder="1" applyAlignment="1" applyProtection="1">
      <alignment vertical="top"/>
    </xf>
    <xf numFmtId="43" fontId="7" fillId="0" borderId="3" xfId="0" applyNumberFormat="1" applyFont="1" applyFill="1" applyBorder="1" applyAlignment="1" applyProtection="1">
      <alignment vertical="top"/>
    </xf>
    <xf numFmtId="43" fontId="7" fillId="0" borderId="5" xfId="0" applyNumberFormat="1" applyFont="1" applyBorder="1" applyAlignment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1" fillId="0" borderId="20" xfId="0" applyNumberFormat="1" applyFont="1" applyFill="1" applyBorder="1" applyAlignment="1" applyProtection="1">
      <alignment vertical="top"/>
    </xf>
    <xf numFmtId="0" fontId="1" fillId="0" borderId="21" xfId="0" applyNumberFormat="1" applyFont="1" applyFill="1" applyBorder="1" applyAlignment="1" applyProtection="1">
      <alignment vertical="top"/>
    </xf>
    <xf numFmtId="43" fontId="1" fillId="0" borderId="21" xfId="0" applyNumberFormat="1" applyFont="1" applyFill="1" applyBorder="1" applyAlignment="1" applyProtection="1">
      <alignment vertical="top"/>
    </xf>
    <xf numFmtId="43" fontId="1" fillId="0" borderId="22" xfId="0" applyNumberFormat="1" applyFont="1" applyFill="1" applyBorder="1" applyAlignment="1" applyProtection="1">
      <alignment vertical="top"/>
    </xf>
    <xf numFmtId="43" fontId="4" fillId="0" borderId="20" xfId="0" applyNumberFormat="1" applyFont="1" applyFill="1" applyBorder="1" applyAlignment="1" applyProtection="1">
      <alignment vertical="top"/>
    </xf>
    <xf numFmtId="43" fontId="4" fillId="0" borderId="21" xfId="0" applyNumberFormat="1" applyFont="1" applyFill="1" applyBorder="1" applyAlignment="1" applyProtection="1">
      <alignment vertical="top"/>
    </xf>
    <xf numFmtId="43" fontId="4" fillId="0" borderId="23" xfId="0" applyNumberFormat="1" applyFont="1" applyBorder="1" applyAlignment="1">
      <alignment vertical="top"/>
    </xf>
    <xf numFmtId="0" fontId="1" fillId="0" borderId="24" xfId="0" applyNumberFormat="1" applyFont="1" applyFill="1" applyBorder="1" applyAlignment="1" applyProtection="1">
      <alignment horizontal="center" vertical="top" wrapText="1"/>
    </xf>
    <xf numFmtId="0" fontId="1" fillId="0" borderId="25" xfId="0" applyNumberFormat="1" applyFont="1" applyFill="1" applyBorder="1" applyAlignment="1" applyProtection="1">
      <alignment horizontal="center" vertical="top"/>
    </xf>
    <xf numFmtId="43" fontId="1" fillId="0" borderId="25" xfId="0" applyNumberFormat="1" applyFont="1" applyFill="1" applyBorder="1" applyAlignment="1" applyProtection="1">
      <alignment horizontal="center" vertical="top"/>
    </xf>
    <xf numFmtId="43" fontId="1" fillId="0" borderId="25" xfId="0" applyNumberFormat="1" applyFont="1" applyFill="1" applyBorder="1" applyAlignment="1" applyProtection="1">
      <alignment horizontal="center" vertical="top" wrapText="1"/>
    </xf>
    <xf numFmtId="43" fontId="1" fillId="0" borderId="26" xfId="0" applyNumberFormat="1" applyFont="1" applyFill="1" applyBorder="1" applyAlignment="1" applyProtection="1">
      <alignment horizontal="center" vertical="top"/>
    </xf>
    <xf numFmtId="0" fontId="4" fillId="0" borderId="20" xfId="0" applyNumberFormat="1" applyFont="1" applyFill="1" applyBorder="1" applyAlignment="1" applyProtection="1">
      <alignment vertical="top"/>
    </xf>
    <xf numFmtId="0" fontId="4" fillId="0" borderId="21" xfId="0" applyNumberFormat="1" applyFont="1" applyFill="1" applyBorder="1" applyAlignment="1" applyProtection="1">
      <alignment vertical="top"/>
    </xf>
    <xf numFmtId="43" fontId="4" fillId="0" borderId="22" xfId="0" applyNumberFormat="1" applyFont="1" applyFill="1" applyBorder="1" applyAlignment="1" applyProtection="1">
      <alignment vertical="top"/>
    </xf>
    <xf numFmtId="0" fontId="2" fillId="0" borderId="24" xfId="0" applyNumberFormat="1" applyFont="1" applyFill="1" applyBorder="1" applyAlignment="1" applyProtection="1">
      <alignment vertical="top"/>
    </xf>
    <xf numFmtId="0" fontId="5" fillId="0" borderId="25" xfId="0" applyNumberFormat="1" applyFont="1" applyFill="1" applyBorder="1" applyAlignment="1" applyProtection="1">
      <alignment vertical="top"/>
    </xf>
    <xf numFmtId="0" fontId="2" fillId="0" borderId="25" xfId="0" applyNumberFormat="1" applyFont="1" applyFill="1" applyBorder="1" applyAlignment="1" applyProtection="1">
      <alignment vertical="top"/>
    </xf>
    <xf numFmtId="43" fontId="2" fillId="0" borderId="25" xfId="0" applyNumberFormat="1" applyFont="1" applyFill="1" applyBorder="1" applyAlignment="1" applyProtection="1">
      <alignment vertical="top"/>
    </xf>
    <xf numFmtId="43" fontId="2" fillId="0" borderId="26" xfId="0" applyNumberFormat="1" applyFont="1" applyFill="1" applyBorder="1" applyAlignment="1" applyProtection="1">
      <alignment vertical="top"/>
    </xf>
    <xf numFmtId="43" fontId="5" fillId="0" borderId="24" xfId="0" applyNumberFormat="1" applyFont="1" applyFill="1" applyBorder="1" applyAlignment="1" applyProtection="1">
      <alignment vertical="top"/>
    </xf>
    <xf numFmtId="43" fontId="5" fillId="0" borderId="25" xfId="0" applyNumberFormat="1" applyFont="1" applyFill="1" applyBorder="1" applyAlignment="1" applyProtection="1">
      <alignment vertical="top"/>
    </xf>
    <xf numFmtId="43" fontId="5" fillId="0" borderId="27" xfId="0" applyNumberFormat="1" applyFont="1" applyFill="1" applyBorder="1" applyAlignment="1" applyProtection="1">
      <alignment vertical="top"/>
    </xf>
    <xf numFmtId="43" fontId="4" fillId="0" borderId="16" xfId="0" applyNumberFormat="1" applyFont="1" applyBorder="1" applyAlignment="1">
      <alignment vertical="top"/>
    </xf>
    <xf numFmtId="43" fontId="4" fillId="0" borderId="17" xfId="0" applyNumberFormat="1" applyFont="1" applyBorder="1" applyAlignment="1">
      <alignment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43" fontId="5" fillId="0" borderId="0" xfId="0" applyNumberFormat="1" applyFont="1" applyFill="1" applyBorder="1" applyAlignment="1" applyProtection="1">
      <alignment vertical="top"/>
    </xf>
    <xf numFmtId="10" fontId="1" fillId="0" borderId="0" xfId="0" applyNumberFormat="1" applyFont="1" applyFill="1" applyBorder="1" applyAlignment="1" applyProtection="1">
      <alignment vertical="top"/>
    </xf>
    <xf numFmtId="10" fontId="7" fillId="0" borderId="0" xfId="0" applyNumberFormat="1" applyFont="1" applyFill="1" applyBorder="1" applyAlignment="1" applyProtection="1">
      <alignment vertical="top"/>
    </xf>
    <xf numFmtId="0" fontId="8" fillId="0" borderId="0" xfId="0" applyFont="1" applyAlignment="1">
      <alignment vertical="top"/>
    </xf>
    <xf numFmtId="0" fontId="8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 wrapText="1"/>
    </xf>
    <xf numFmtId="165" fontId="9" fillId="0" borderId="4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8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10" fontId="8" fillId="0" borderId="4" xfId="0" applyNumberFormat="1" applyFont="1" applyBorder="1" applyAlignment="1">
      <alignment vertical="top"/>
    </xf>
    <xf numFmtId="165" fontId="0" fillId="0" borderId="4" xfId="0" applyNumberFormat="1" applyBorder="1" applyAlignment="1">
      <alignment vertical="top"/>
    </xf>
    <xf numFmtId="165" fontId="0" fillId="0" borderId="0" xfId="0" applyNumberFormat="1" applyAlignment="1">
      <alignment vertical="top"/>
    </xf>
    <xf numFmtId="10" fontId="0" fillId="0" borderId="0" xfId="0" applyNumberForma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43" fontId="4" fillId="0" borderId="10" xfId="0" applyNumberFormat="1" applyFont="1" applyFill="1" applyBorder="1" applyAlignment="1" applyProtection="1">
      <alignment horizontal="center" vertical="top" wrapText="1"/>
    </xf>
    <xf numFmtId="43" fontId="0" fillId="0" borderId="11" xfId="0" applyNumberFormat="1" applyBorder="1" applyAlignment="1">
      <alignment horizontal="center" vertical="top" wrapText="1"/>
    </xf>
    <xf numFmtId="43" fontId="0" fillId="0" borderId="12" xfId="0" applyNumberFormat="1" applyBorder="1" applyAlignment="1">
      <alignment horizontal="center" vertical="top" wrapText="1"/>
    </xf>
    <xf numFmtId="10" fontId="5" fillId="0" borderId="0" xfId="0" applyNumberFormat="1" applyFont="1" applyFill="1" applyBorder="1" applyAlignment="1" applyProtection="1">
      <alignment vertical="top"/>
    </xf>
    <xf numFmtId="0" fontId="2" fillId="0" borderId="4" xfId="0" applyNumberFormat="1" applyFont="1" applyFill="1" applyBorder="1" applyAlignment="1" applyProtection="1">
      <alignment vertical="top" wrapText="1"/>
    </xf>
    <xf numFmtId="0" fontId="10" fillId="0" borderId="0" xfId="0" applyNumberFormat="1" applyFont="1" applyFill="1" applyBorder="1" applyAlignment="1" applyProtection="1">
      <alignment vertical="top"/>
    </xf>
    <xf numFmtId="43" fontId="10" fillId="0" borderId="0" xfId="0" applyNumberFormat="1" applyFont="1" applyFill="1" applyBorder="1" applyAlignment="1" applyProtection="1">
      <alignment vertical="top"/>
    </xf>
    <xf numFmtId="43" fontId="10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43" fontId="11" fillId="0" borderId="0" xfId="0" applyNumberFormat="1" applyFon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90"/>
  <sheetViews>
    <sheetView tabSelected="1" topLeftCell="A35" workbookViewId="0">
      <selection activeCell="J92" sqref="J92"/>
    </sheetView>
  </sheetViews>
  <sheetFormatPr defaultColWidth="15" defaultRowHeight="12.75" outlineLevelRow="2" x14ac:dyDescent="0.2"/>
  <cols>
    <col min="1" max="1" width="7.85546875" style="20" customWidth="1"/>
    <col min="2" max="2" width="65.7109375" style="20" customWidth="1"/>
    <col min="3" max="3" width="9.140625" style="20" customWidth="1"/>
    <col min="4" max="4" width="14.28515625" style="20" customWidth="1"/>
    <col min="5" max="5" width="13.85546875" style="33" customWidth="1"/>
    <col min="6" max="6" width="15" style="33" customWidth="1"/>
    <col min="7" max="7" width="17" style="33" customWidth="1"/>
    <col min="8" max="8" width="17.5703125" style="33" bestFit="1" customWidth="1"/>
    <col min="9" max="9" width="17.28515625" style="33" customWidth="1"/>
    <col min="10" max="10" width="19.28515625" style="33" bestFit="1" customWidth="1"/>
    <col min="11" max="11" width="15" style="20"/>
    <col min="12" max="12" width="0" style="20" hidden="1" customWidth="1"/>
    <col min="13" max="16384" width="15" style="20"/>
  </cols>
  <sheetData>
    <row r="1" spans="1:13" s="1" customFormat="1" ht="14.25" x14ac:dyDescent="0.2">
      <c r="C1" s="2" t="s">
        <v>0</v>
      </c>
      <c r="E1" s="32"/>
      <c r="F1" s="32"/>
      <c r="G1" s="32"/>
      <c r="H1" s="32"/>
      <c r="I1" s="32"/>
      <c r="J1" s="33"/>
    </row>
    <row r="2" spans="1:13" s="1" customFormat="1" ht="14.25" x14ac:dyDescent="0.2">
      <c r="C2" s="2" t="s">
        <v>1</v>
      </c>
      <c r="E2" s="32"/>
      <c r="F2" s="32"/>
      <c r="G2" s="32"/>
      <c r="H2" s="32"/>
      <c r="I2" s="32"/>
      <c r="J2" s="33"/>
    </row>
    <row r="3" spans="1:13" s="1" customFormat="1" ht="14.25" x14ac:dyDescent="0.2">
      <c r="C3" s="2" t="s">
        <v>177</v>
      </c>
      <c r="E3" s="32"/>
      <c r="F3" s="32"/>
      <c r="G3" s="32"/>
      <c r="H3" s="32"/>
      <c r="I3" s="32"/>
      <c r="J3" s="33"/>
    </row>
    <row r="4" spans="1:13" s="1" customFormat="1" ht="15" thickBot="1" x14ac:dyDescent="0.25">
      <c r="E4" s="32"/>
      <c r="F4" s="32"/>
      <c r="G4" s="32"/>
      <c r="H4" s="32"/>
      <c r="I4" s="32"/>
      <c r="J4" s="33"/>
    </row>
    <row r="5" spans="1:13" s="2" customFormat="1" ht="29.25" thickBot="1" x14ac:dyDescent="0.25">
      <c r="A5" s="3" t="s">
        <v>2</v>
      </c>
      <c r="B5" s="4" t="s">
        <v>3</v>
      </c>
      <c r="C5" s="4" t="s">
        <v>4</v>
      </c>
      <c r="D5" s="31" t="s">
        <v>76</v>
      </c>
      <c r="E5" s="34" t="s">
        <v>6</v>
      </c>
      <c r="F5" s="35" t="s">
        <v>7</v>
      </c>
      <c r="G5" s="36" t="s">
        <v>55</v>
      </c>
      <c r="H5" s="119" t="s">
        <v>50</v>
      </c>
      <c r="I5" s="120"/>
      <c r="J5" s="121"/>
    </row>
    <row r="6" spans="1:13" s="2" customFormat="1" ht="29.25" thickBot="1" x14ac:dyDescent="0.25">
      <c r="A6" s="29"/>
      <c r="B6" s="30"/>
      <c r="C6" s="30"/>
      <c r="D6" s="30"/>
      <c r="E6" s="37"/>
      <c r="F6" s="37"/>
      <c r="G6" s="38"/>
      <c r="H6" s="39" t="s">
        <v>46</v>
      </c>
      <c r="I6" s="39" t="s">
        <v>47</v>
      </c>
      <c r="J6" s="40" t="s">
        <v>48</v>
      </c>
    </row>
    <row r="7" spans="1:13" s="1" customFormat="1" ht="14.25" x14ac:dyDescent="0.2">
      <c r="A7" s="17"/>
      <c r="B7" s="18" t="s">
        <v>54</v>
      </c>
      <c r="C7" s="19"/>
      <c r="D7" s="19">
        <f>SUM(H7:J7)</f>
        <v>17177.399999999998</v>
      </c>
      <c r="E7" s="41"/>
      <c r="F7" s="41">
        <f>SUM(H7:J7)</f>
        <v>17177.399999999998</v>
      </c>
      <c r="G7" s="42">
        <f>F7*F8*12</f>
        <v>5379961.6799999997</v>
      </c>
      <c r="H7" s="43">
        <v>5760.8</v>
      </c>
      <c r="I7" s="44">
        <v>7611.5</v>
      </c>
      <c r="J7" s="59">
        <v>3805.1</v>
      </c>
      <c r="L7" s="102">
        <f>H7/F7</f>
        <v>0.33537089431462275</v>
      </c>
    </row>
    <row r="8" spans="1:13" s="1" customFormat="1" ht="14.25" x14ac:dyDescent="0.2">
      <c r="A8" s="5"/>
      <c r="B8" s="16" t="s">
        <v>157</v>
      </c>
      <c r="C8" s="6"/>
      <c r="D8" s="6"/>
      <c r="E8" s="45"/>
      <c r="F8" s="45">
        <v>26.1</v>
      </c>
      <c r="G8" s="46"/>
      <c r="H8" s="47">
        <f>F8</f>
        <v>26.1</v>
      </c>
      <c r="I8" s="48">
        <f>F8</f>
        <v>26.1</v>
      </c>
      <c r="J8" s="60">
        <f>F8</f>
        <v>26.1</v>
      </c>
      <c r="L8" s="102">
        <f>I7/F7</f>
        <v>0.44311129740240091</v>
      </c>
    </row>
    <row r="9" spans="1:13" s="74" customFormat="1" ht="14.25" x14ac:dyDescent="0.2">
      <c r="A9" s="68"/>
      <c r="B9" s="69" t="s">
        <v>156</v>
      </c>
      <c r="C9" s="69"/>
      <c r="D9" s="69"/>
      <c r="E9" s="70"/>
      <c r="F9" s="71">
        <f>F7*F8</f>
        <v>448330.13999999996</v>
      </c>
      <c r="G9" s="71">
        <f>F7*F8*12</f>
        <v>5379961.6799999997</v>
      </c>
      <c r="H9" s="72">
        <f>H7*H8*12</f>
        <v>1804282.56</v>
      </c>
      <c r="I9" s="70">
        <f>I7*I8*12</f>
        <v>2383921.8000000003</v>
      </c>
      <c r="J9" s="73">
        <f>J7*J8*12</f>
        <v>1191757.32</v>
      </c>
      <c r="L9" s="103">
        <f>J7/F7</f>
        <v>0.22151780828297649</v>
      </c>
    </row>
    <row r="10" spans="1:13" s="1" customFormat="1" ht="14.25" hidden="1" x14ac:dyDescent="0.2">
      <c r="A10" s="5"/>
      <c r="B10" s="16"/>
      <c r="C10" s="6"/>
      <c r="D10" s="6"/>
      <c r="E10" s="45"/>
      <c r="F10" s="46"/>
      <c r="G10" s="46"/>
      <c r="H10" s="47"/>
      <c r="I10" s="48"/>
      <c r="J10" s="60"/>
    </row>
    <row r="11" spans="1:13" s="23" customFormat="1" ht="15" x14ac:dyDescent="0.2">
      <c r="A11" s="22"/>
      <c r="B11" s="15" t="s">
        <v>155</v>
      </c>
      <c r="C11" s="15"/>
      <c r="D11" s="15"/>
      <c r="E11" s="49"/>
      <c r="F11" s="50">
        <f>F13+F75</f>
        <v>332488.42295241379</v>
      </c>
      <c r="G11" s="50">
        <f>G13+G75</f>
        <v>5379461.6734289657</v>
      </c>
      <c r="H11" s="51">
        <f>H13+H75</f>
        <v>1800258.1052029519</v>
      </c>
      <c r="I11" s="49">
        <f>I13+I75</f>
        <v>2378604.4613736407</v>
      </c>
      <c r="J11" s="61">
        <f>J13+J75</f>
        <v>1189099.1088523734</v>
      </c>
    </row>
    <row r="12" spans="1:13" s="14" customFormat="1" ht="15" thickBot="1" x14ac:dyDescent="0.25">
      <c r="A12" s="87"/>
      <c r="B12" s="88" t="s">
        <v>9</v>
      </c>
      <c r="C12" s="88"/>
      <c r="D12" s="88"/>
      <c r="E12" s="80"/>
      <c r="F12" s="80"/>
      <c r="G12" s="89"/>
      <c r="H12" s="79"/>
      <c r="I12" s="80"/>
      <c r="J12" s="81"/>
    </row>
    <row r="13" spans="1:13" s="10" customFormat="1" ht="15.75" thickBot="1" x14ac:dyDescent="0.25">
      <c r="A13" s="90">
        <v>1</v>
      </c>
      <c r="B13" s="91" t="s">
        <v>49</v>
      </c>
      <c r="C13" s="92"/>
      <c r="D13" s="92"/>
      <c r="E13" s="93"/>
      <c r="F13" s="94">
        <f>SUM(F15+F18+F23+F29+F32+F40+F48+F53+F57+F65)</f>
        <v>332488.42295241379</v>
      </c>
      <c r="G13" s="94">
        <f>SUM(G15+G18+G23+G29+G32+G40+G48+G53+G57+G65)</f>
        <v>4395331.0754289655</v>
      </c>
      <c r="H13" s="95">
        <f>H15+H18+H23+H29+H32+H40+H48+H53+H57+H65</f>
        <v>1474066.1135754646</v>
      </c>
      <c r="I13" s="96">
        <f>I15+I18+I23+I29+I32+I40+I48+I53+I57+I65</f>
        <v>1947620.8553464189</v>
      </c>
      <c r="J13" s="97">
        <f>J15+J18+J23+J29+J32+J40+J48+J53+J57+J65</f>
        <v>973644.10650708247</v>
      </c>
    </row>
    <row r="14" spans="1:13" s="1" customFormat="1" ht="14.25" outlineLevel="1" x14ac:dyDescent="0.2">
      <c r="A14" s="17"/>
      <c r="B14" s="19" t="s">
        <v>9</v>
      </c>
      <c r="C14" s="19"/>
      <c r="D14" s="19"/>
      <c r="E14" s="41"/>
      <c r="F14" s="41"/>
      <c r="G14" s="42"/>
      <c r="H14" s="43"/>
      <c r="I14" s="44"/>
      <c r="J14" s="59"/>
    </row>
    <row r="15" spans="1:13" s="23" customFormat="1" ht="17.25" outlineLevel="1" x14ac:dyDescent="0.2">
      <c r="A15" s="22" t="s">
        <v>10</v>
      </c>
      <c r="B15" s="15" t="s">
        <v>11</v>
      </c>
      <c r="C15" s="15" t="s">
        <v>57</v>
      </c>
      <c r="D15" s="27"/>
      <c r="E15" s="49"/>
      <c r="F15" s="50">
        <f>SUM(F16:F17)</f>
        <v>32594.116499999996</v>
      </c>
      <c r="G15" s="50">
        <f>SUM(G16:G17)</f>
        <v>391129.39799999993</v>
      </c>
      <c r="H15" s="51">
        <f>SUM(H16:H17)</f>
        <v>131173.416</v>
      </c>
      <c r="I15" s="49">
        <f>SUM(I16:I17)</f>
        <v>173313.85499999998</v>
      </c>
      <c r="J15" s="61">
        <f>SUM(J16:J17)</f>
        <v>86642.126999999993</v>
      </c>
    </row>
    <row r="16" spans="1:13" s="1" customFormat="1" ht="16.5" outlineLevel="2" x14ac:dyDescent="0.2">
      <c r="A16" s="5"/>
      <c r="B16" s="16" t="s">
        <v>133</v>
      </c>
      <c r="C16" s="16" t="s">
        <v>134</v>
      </c>
      <c r="D16" s="57">
        <f>F7</f>
        <v>17177.399999999998</v>
      </c>
      <c r="E16" s="48">
        <f>1.5*1.265</f>
        <v>1.8975</v>
      </c>
      <c r="F16" s="48">
        <f>D16*E16</f>
        <v>32594.116499999996</v>
      </c>
      <c r="G16" s="52">
        <f>F16*12</f>
        <v>391129.39799999993</v>
      </c>
      <c r="H16" s="47">
        <f>E16*H7*12</f>
        <v>131173.416</v>
      </c>
      <c r="I16" s="48">
        <f>E16*I7*12</f>
        <v>173313.85499999998</v>
      </c>
      <c r="J16" s="60">
        <f>E16*J7*12</f>
        <v>86642.126999999993</v>
      </c>
      <c r="L16" s="32"/>
      <c r="M16" s="32"/>
    </row>
    <row r="17" spans="1:13" s="1" customFormat="1" ht="14.25" hidden="1" outlineLevel="2" x14ac:dyDescent="0.2">
      <c r="A17" s="5"/>
      <c r="B17" s="6"/>
      <c r="C17" s="6"/>
      <c r="D17" s="7"/>
      <c r="E17" s="45"/>
      <c r="F17" s="45"/>
      <c r="G17" s="46"/>
      <c r="H17" s="47"/>
      <c r="I17" s="48"/>
      <c r="J17" s="60"/>
    </row>
    <row r="18" spans="1:13" s="23" customFormat="1" ht="15" outlineLevel="1" x14ac:dyDescent="0.2">
      <c r="A18" s="22" t="s">
        <v>13</v>
      </c>
      <c r="B18" s="15" t="s">
        <v>14</v>
      </c>
      <c r="C18" s="15"/>
      <c r="D18" s="15"/>
      <c r="E18" s="49"/>
      <c r="F18" s="50">
        <f>SUM(F19:F22)</f>
        <v>64989.450000000004</v>
      </c>
      <c r="G18" s="50">
        <f>SUM(G19:G22)</f>
        <v>824873.4</v>
      </c>
      <c r="H18" s="51">
        <f>SUM(H19:H22)</f>
        <v>276638.52985434351</v>
      </c>
      <c r="I18" s="49">
        <f>SUM(I19:I22)</f>
        <v>365510.72246672958</v>
      </c>
      <c r="J18" s="61">
        <f>SUM(J19:J22)</f>
        <v>182724.14767892699</v>
      </c>
      <c r="M18" s="101"/>
    </row>
    <row r="19" spans="1:13" s="1" customFormat="1" ht="14.25" outlineLevel="2" x14ac:dyDescent="0.2">
      <c r="A19" s="24" t="s">
        <v>82</v>
      </c>
      <c r="B19" s="6" t="s">
        <v>14</v>
      </c>
      <c r="C19" s="6" t="s">
        <v>15</v>
      </c>
      <c r="D19" s="6">
        <v>9</v>
      </c>
      <c r="E19" s="45">
        <v>6500</v>
      </c>
      <c r="F19" s="45">
        <f>D19*E19</f>
        <v>58500</v>
      </c>
      <c r="G19" s="46">
        <f>F19*12</f>
        <v>702000</v>
      </c>
      <c r="H19" s="47">
        <f>G19*H$7/F$7</f>
        <v>235430.36780886518</v>
      </c>
      <c r="I19" s="48">
        <f>G19*I$7/F$7</f>
        <v>311064.13077648543</v>
      </c>
      <c r="J19" s="60">
        <f>G19*J$7/F$7</f>
        <v>155505.50141464951</v>
      </c>
      <c r="M19" s="32"/>
    </row>
    <row r="20" spans="1:13" s="1" customFormat="1" ht="14.25" outlineLevel="2" x14ac:dyDescent="0.2">
      <c r="A20" s="24" t="s">
        <v>83</v>
      </c>
      <c r="B20" s="16" t="s">
        <v>71</v>
      </c>
      <c r="C20" s="16" t="s">
        <v>70</v>
      </c>
      <c r="D20" s="6">
        <f>9*13</f>
        <v>117</v>
      </c>
      <c r="E20" s="45">
        <f>30*1.265</f>
        <v>37.949999999999996</v>
      </c>
      <c r="F20" s="45">
        <f>D20*E20</f>
        <v>4440.1499999999996</v>
      </c>
      <c r="G20" s="46">
        <f>F20*12</f>
        <v>53281.799999999996</v>
      </c>
      <c r="H20" s="47">
        <f t="shared" ref="H20:H22" si="0">G20*H$7/F$7</f>
        <v>17869.164916692866</v>
      </c>
      <c r="I20" s="48">
        <f t="shared" ref="I20:I22" si="1">G20*I$7/F$7</f>
        <v>23609.767525935244</v>
      </c>
      <c r="J20" s="60">
        <f t="shared" ref="J20:J22" si="2">G20*J$7/F$7</f>
        <v>11802.867557371896</v>
      </c>
    </row>
    <row r="21" spans="1:13" s="1" customFormat="1" ht="14.25" outlineLevel="2" x14ac:dyDescent="0.2">
      <c r="A21" s="24" t="s">
        <v>84</v>
      </c>
      <c r="B21" s="16" t="s">
        <v>72</v>
      </c>
      <c r="C21" s="16" t="s">
        <v>73</v>
      </c>
      <c r="D21" s="6">
        <f>4*9</f>
        <v>36</v>
      </c>
      <c r="E21" s="45">
        <f>45*1.265</f>
        <v>56.924999999999997</v>
      </c>
      <c r="F21" s="45">
        <f>D21*E21</f>
        <v>2049.2999999999997</v>
      </c>
      <c r="G21" s="46">
        <f>F21*12</f>
        <v>24591.599999999999</v>
      </c>
      <c r="H21" s="47">
        <f t="shared" si="0"/>
        <v>8247.3068846274764</v>
      </c>
      <c r="I21" s="48">
        <f t="shared" si="1"/>
        <v>10896.815781200879</v>
      </c>
      <c r="J21" s="60">
        <f t="shared" si="2"/>
        <v>5447.4773341716445</v>
      </c>
    </row>
    <row r="22" spans="1:13" s="1" customFormat="1" ht="14.25" outlineLevel="2" x14ac:dyDescent="0.2">
      <c r="A22" s="24" t="s">
        <v>85</v>
      </c>
      <c r="B22" s="6" t="s">
        <v>17</v>
      </c>
      <c r="C22" s="6" t="s">
        <v>15</v>
      </c>
      <c r="D22" s="6">
        <v>9</v>
      </c>
      <c r="E22" s="45">
        <v>5000</v>
      </c>
      <c r="F22" s="45"/>
      <c r="G22" s="46">
        <f>D22*E22</f>
        <v>45000</v>
      </c>
      <c r="H22" s="47">
        <f t="shared" si="0"/>
        <v>15091.690244158024</v>
      </c>
      <c r="I22" s="48">
        <f t="shared" si="1"/>
        <v>19940.008383108041</v>
      </c>
      <c r="J22" s="60">
        <f t="shared" si="2"/>
        <v>9968.3013727339421</v>
      </c>
    </row>
    <row r="23" spans="1:13" s="23" customFormat="1" ht="15" outlineLevel="1" x14ac:dyDescent="0.2">
      <c r="A23" s="22" t="s">
        <v>16</v>
      </c>
      <c r="B23" s="15" t="s">
        <v>74</v>
      </c>
      <c r="C23" s="15"/>
      <c r="D23" s="15"/>
      <c r="E23" s="49"/>
      <c r="F23" s="50">
        <f>SUM(F24:F28)</f>
        <v>88316.85000000002</v>
      </c>
      <c r="G23" s="50">
        <f>SUM(G24:G28)</f>
        <v>1113802.2000000002</v>
      </c>
      <c r="H23" s="51">
        <f>SUM(H24:H28)</f>
        <v>373536.83990359434</v>
      </c>
      <c r="I23" s="49">
        <f>SUM(I24:I28)</f>
        <v>493538.33789164858</v>
      </c>
      <c r="J23" s="61">
        <f>SUM(J24:J28)</f>
        <v>246727.02220475749</v>
      </c>
    </row>
    <row r="24" spans="1:13" s="1" customFormat="1" ht="16.5" outlineLevel="2" x14ac:dyDescent="0.2">
      <c r="A24" s="24" t="s">
        <v>86</v>
      </c>
      <c r="B24" s="16" t="s">
        <v>51</v>
      </c>
      <c r="C24" s="6" t="s">
        <v>24</v>
      </c>
      <c r="D24" s="6">
        <f>9*0.75*30</f>
        <v>202.5</v>
      </c>
      <c r="E24" s="45">
        <f>327*1.1</f>
        <v>359.70000000000005</v>
      </c>
      <c r="F24" s="45">
        <f>D24*E24</f>
        <v>72839.250000000015</v>
      </c>
      <c r="G24" s="46">
        <f>F24*12</f>
        <v>874071.00000000023</v>
      </c>
      <c r="H24" s="47">
        <f>G24*H$7/F$7</f>
        <v>293137.97296447668</v>
      </c>
      <c r="I24" s="48">
        <f>G24*I$7/F$7</f>
        <v>387310.73483181407</v>
      </c>
      <c r="J24" s="60">
        <f>G24*J$7/F$7</f>
        <v>193622.2922037096</v>
      </c>
    </row>
    <row r="25" spans="1:13" s="1" customFormat="1" ht="16.5" outlineLevel="2" x14ac:dyDescent="0.2">
      <c r="A25" s="24" t="s">
        <v>87</v>
      </c>
      <c r="B25" s="16" t="s">
        <v>52</v>
      </c>
      <c r="C25" s="6" t="s">
        <v>24</v>
      </c>
      <c r="D25" s="6">
        <v>8</v>
      </c>
      <c r="E25" s="45">
        <f>E24</f>
        <v>359.70000000000005</v>
      </c>
      <c r="F25" s="45">
        <f>D25*E25</f>
        <v>2877.6000000000004</v>
      </c>
      <c r="G25" s="46">
        <f>F25*12</f>
        <v>34531.200000000004</v>
      </c>
      <c r="H25" s="47">
        <f t="shared" ref="H25:H28" si="3">G25*H$7/F$7</f>
        <v>11580.759425757104</v>
      </c>
      <c r="I25" s="48">
        <f t="shared" ref="I25:I28" si="4">G25*I$7/F$7</f>
        <v>15301.164832861788</v>
      </c>
      <c r="J25" s="60">
        <f t="shared" ref="J25:J28" si="5">G25*J$7/F$7</f>
        <v>7649.2757413811196</v>
      </c>
    </row>
    <row r="26" spans="1:13" s="1" customFormat="1" ht="14.25" outlineLevel="2" x14ac:dyDescent="0.2">
      <c r="A26" s="24" t="s">
        <v>90</v>
      </c>
      <c r="B26" s="16" t="s">
        <v>139</v>
      </c>
      <c r="C26" s="6" t="s">
        <v>121</v>
      </c>
      <c r="D26" s="6">
        <v>9</v>
      </c>
      <c r="E26" s="45">
        <v>1400</v>
      </c>
      <c r="F26" s="45">
        <f>D26*E26</f>
        <v>12600</v>
      </c>
      <c r="G26" s="46">
        <f>F26*12</f>
        <v>151200</v>
      </c>
      <c r="H26" s="47">
        <f t="shared" si="3"/>
        <v>50708.079220370957</v>
      </c>
      <c r="I26" s="48">
        <f t="shared" si="4"/>
        <v>66998.428167243008</v>
      </c>
      <c r="J26" s="60">
        <f t="shared" si="5"/>
        <v>33493.49261238605</v>
      </c>
    </row>
    <row r="27" spans="1:13" s="1" customFormat="1" ht="14.25" outlineLevel="2" x14ac:dyDescent="0.2">
      <c r="A27" s="24" t="s">
        <v>91</v>
      </c>
      <c r="B27" s="16" t="s">
        <v>88</v>
      </c>
      <c r="C27" s="16" t="s">
        <v>121</v>
      </c>
      <c r="D27" s="16" t="s">
        <v>135</v>
      </c>
      <c r="E27" s="45">
        <v>1500</v>
      </c>
      <c r="F27" s="45"/>
      <c r="G27" s="46">
        <f>E27*9*2</f>
        <v>27000</v>
      </c>
      <c r="H27" s="47">
        <f t="shared" si="3"/>
        <v>9055.0141464948138</v>
      </c>
      <c r="I27" s="48">
        <f t="shared" si="4"/>
        <v>11964.005029864824</v>
      </c>
      <c r="J27" s="60">
        <f t="shared" si="5"/>
        <v>5980.9808236403651</v>
      </c>
    </row>
    <row r="28" spans="1:13" s="1" customFormat="1" ht="14.25" outlineLevel="2" x14ac:dyDescent="0.2">
      <c r="A28" s="24" t="s">
        <v>140</v>
      </c>
      <c r="B28" s="16" t="s">
        <v>89</v>
      </c>
      <c r="C28" s="16" t="s">
        <v>121</v>
      </c>
      <c r="D28" s="16" t="s">
        <v>135</v>
      </c>
      <c r="E28" s="45">
        <v>1500</v>
      </c>
      <c r="F28" s="45"/>
      <c r="G28" s="46">
        <f>E28*9*2</f>
        <v>27000</v>
      </c>
      <c r="H28" s="47">
        <f t="shared" si="3"/>
        <v>9055.0141464948138</v>
      </c>
      <c r="I28" s="48">
        <f t="shared" si="4"/>
        <v>11964.005029864824</v>
      </c>
      <c r="J28" s="60">
        <f t="shared" si="5"/>
        <v>5980.9808236403651</v>
      </c>
    </row>
    <row r="29" spans="1:13" s="23" customFormat="1" ht="17.25" outlineLevel="1" x14ac:dyDescent="0.2">
      <c r="A29" s="22" t="s">
        <v>18</v>
      </c>
      <c r="B29" s="28" t="s">
        <v>27</v>
      </c>
      <c r="C29" s="15" t="s">
        <v>57</v>
      </c>
      <c r="D29" s="27"/>
      <c r="E29" s="49"/>
      <c r="F29" s="50">
        <f>SUM(F30:F31)</f>
        <v>0</v>
      </c>
      <c r="G29" s="50">
        <f>SUM(G30:G31)</f>
        <v>18000</v>
      </c>
      <c r="H29" s="51">
        <f>SUM(H30:H31)</f>
        <v>6036.6760976632095</v>
      </c>
      <c r="I29" s="49">
        <f>SUM(I30:I31)</f>
        <v>7976.0033532432162</v>
      </c>
      <c r="J29" s="61">
        <f>SUM(J30:J31)</f>
        <v>3987.320549093577</v>
      </c>
    </row>
    <row r="30" spans="1:13" s="1" customFormat="1" ht="16.5" outlineLevel="2" x14ac:dyDescent="0.2">
      <c r="A30" s="24" t="s">
        <v>92</v>
      </c>
      <c r="B30" s="11" t="s">
        <v>27</v>
      </c>
      <c r="C30" s="6" t="s">
        <v>12</v>
      </c>
      <c r="D30" s="7">
        <f>F7</f>
        <v>17177.399999999998</v>
      </c>
      <c r="E30" s="45">
        <v>0.14499999999999999</v>
      </c>
      <c r="F30" s="45"/>
      <c r="G30" s="46">
        <v>18000</v>
      </c>
      <c r="H30" s="47">
        <f>G30*H$7/F$7</f>
        <v>6036.6760976632095</v>
      </c>
      <c r="I30" s="48">
        <f>G30*I$7/F$7</f>
        <v>7976.0033532432162</v>
      </c>
      <c r="J30" s="60">
        <f>G30*J$7/F$7</f>
        <v>3987.320549093577</v>
      </c>
    </row>
    <row r="31" spans="1:13" s="1" customFormat="1" ht="14.25" hidden="1" outlineLevel="2" x14ac:dyDescent="0.2">
      <c r="A31" s="24" t="s">
        <v>93</v>
      </c>
      <c r="B31" s="11"/>
      <c r="C31" s="6"/>
      <c r="D31" s="7"/>
      <c r="E31" s="45"/>
      <c r="F31" s="45"/>
      <c r="G31" s="46"/>
      <c r="H31" s="47"/>
      <c r="I31" s="48"/>
      <c r="J31" s="60"/>
    </row>
    <row r="32" spans="1:13" s="23" customFormat="1" ht="15" outlineLevel="1" x14ac:dyDescent="0.2">
      <c r="A32" s="22" t="s">
        <v>94</v>
      </c>
      <c r="B32" s="15" t="s">
        <v>53</v>
      </c>
      <c r="C32" s="15"/>
      <c r="D32" s="26"/>
      <c r="E32" s="49"/>
      <c r="F32" s="50">
        <f>SUM(F33:F39)</f>
        <v>57675.218939999999</v>
      </c>
      <c r="G32" s="50">
        <f>SUM(G33:G39)</f>
        <v>810818.62728000002</v>
      </c>
      <c r="H32" s="51">
        <f>SUM(H33:H38)</f>
        <v>271924.9681578484</v>
      </c>
      <c r="I32" s="49">
        <f>SUM(I33:I38)</f>
        <v>359282.89389207447</v>
      </c>
      <c r="J32" s="61">
        <f>SUM(J33:J38)</f>
        <v>179610.7652300772</v>
      </c>
    </row>
    <row r="33" spans="1:10" s="1" customFormat="1" ht="14.25" outlineLevel="2" x14ac:dyDescent="0.2">
      <c r="A33" s="24" t="s">
        <v>95</v>
      </c>
      <c r="B33" s="6" t="s">
        <v>30</v>
      </c>
      <c r="C33" s="6" t="s">
        <v>31</v>
      </c>
      <c r="D33" s="21">
        <f>F7*0.63</f>
        <v>10821.761999999999</v>
      </c>
      <c r="E33" s="45">
        <f>3.87</f>
        <v>3.87</v>
      </c>
      <c r="F33" s="45">
        <f>D33*E33</f>
        <v>41880.218939999999</v>
      </c>
      <c r="G33" s="46">
        <f>F33*12</f>
        <v>502562.62728000002</v>
      </c>
      <c r="H33" s="47">
        <f t="shared" ref="H33:H38" si="6">G33*H$7/F$7</f>
        <v>168544.87776000003</v>
      </c>
      <c r="I33" s="48">
        <f t="shared" ref="I33:I38" si="7">G33*I$7/F$7</f>
        <v>222691.17780000003</v>
      </c>
      <c r="J33" s="60">
        <f t="shared" ref="J33:J38" si="8">G33*J$7/F$7</f>
        <v>111326.57172000001</v>
      </c>
    </row>
    <row r="34" spans="1:10" s="1" customFormat="1" ht="28.5" outlineLevel="2" x14ac:dyDescent="0.2">
      <c r="A34" s="24" t="s">
        <v>96</v>
      </c>
      <c r="B34" s="11" t="s">
        <v>69</v>
      </c>
      <c r="C34" s="16" t="s">
        <v>70</v>
      </c>
      <c r="D34" s="6">
        <f>9*13</f>
        <v>117</v>
      </c>
      <c r="E34" s="45">
        <v>135</v>
      </c>
      <c r="F34" s="45">
        <f>D34*E34</f>
        <v>15795</v>
      </c>
      <c r="G34" s="46">
        <f>F34*12</f>
        <v>189540</v>
      </c>
      <c r="H34" s="47">
        <f t="shared" si="6"/>
        <v>63566.199308393596</v>
      </c>
      <c r="I34" s="48">
        <f t="shared" si="7"/>
        <v>83987.315309651065</v>
      </c>
      <c r="J34" s="60">
        <f t="shared" si="8"/>
        <v>41986.485381955368</v>
      </c>
    </row>
    <row r="35" spans="1:10" s="1" customFormat="1" ht="14.25" outlineLevel="2" x14ac:dyDescent="0.2">
      <c r="A35" s="24" t="s">
        <v>97</v>
      </c>
      <c r="B35" s="16" t="s">
        <v>75</v>
      </c>
      <c r="C35" s="16" t="s">
        <v>141</v>
      </c>
      <c r="D35" s="16" t="s">
        <v>135</v>
      </c>
      <c r="E35" s="45">
        <f>300*1.13*1.4</f>
        <v>474.59999999999991</v>
      </c>
      <c r="F35" s="45"/>
      <c r="G35" s="46">
        <f>(10*9)*E35*2</f>
        <v>85427.999999999985</v>
      </c>
      <c r="H35" s="47">
        <f t="shared" si="6"/>
        <v>28650.064759509587</v>
      </c>
      <c r="I35" s="48">
        <f t="shared" si="7"/>
        <v>37854.111914492292</v>
      </c>
      <c r="J35" s="60">
        <f t="shared" si="8"/>
        <v>18923.823325998113</v>
      </c>
    </row>
    <row r="36" spans="1:10" s="1" customFormat="1" ht="16.5" outlineLevel="2" x14ac:dyDescent="0.2">
      <c r="A36" s="24" t="s">
        <v>98</v>
      </c>
      <c r="B36" s="16" t="s">
        <v>66</v>
      </c>
      <c r="C36" s="6" t="s">
        <v>12</v>
      </c>
      <c r="D36" s="66">
        <f>D49*2*2</f>
        <v>11096</v>
      </c>
      <c r="E36" s="45">
        <v>0.5</v>
      </c>
      <c r="F36" s="45"/>
      <c r="G36" s="46">
        <f>D36*E36</f>
        <v>5548</v>
      </c>
      <c r="H36" s="47">
        <f t="shared" si="6"/>
        <v>1860.6377216575272</v>
      </c>
      <c r="I36" s="48">
        <f t="shared" si="7"/>
        <v>2458.3814779885201</v>
      </c>
      <c r="J36" s="60">
        <f t="shared" si="8"/>
        <v>1228.9808003539536</v>
      </c>
    </row>
    <row r="37" spans="1:10" s="1" customFormat="1" ht="28.5" outlineLevel="2" x14ac:dyDescent="0.2">
      <c r="A37" s="24" t="s">
        <v>99</v>
      </c>
      <c r="B37" s="25" t="s">
        <v>67</v>
      </c>
      <c r="C37" s="16" t="s">
        <v>123</v>
      </c>
      <c r="D37" s="67">
        <f>D49</f>
        <v>2774</v>
      </c>
      <c r="E37" s="45">
        <v>10</v>
      </c>
      <c r="F37" s="45"/>
      <c r="G37" s="46">
        <f>D37*E37</f>
        <v>27740</v>
      </c>
      <c r="H37" s="47">
        <f t="shared" si="6"/>
        <v>9303.1886082876354</v>
      </c>
      <c r="I37" s="48">
        <f t="shared" si="7"/>
        <v>12291.9073899426</v>
      </c>
      <c r="J37" s="60">
        <f t="shared" si="8"/>
        <v>6144.904001769768</v>
      </c>
    </row>
    <row r="38" spans="1:10" s="1" customFormat="1" ht="28.5" outlineLevel="2" x14ac:dyDescent="0.2">
      <c r="A38" s="24" t="s">
        <v>100</v>
      </c>
      <c r="B38" s="25" t="s">
        <v>80</v>
      </c>
      <c r="C38" s="6"/>
      <c r="D38" s="6"/>
      <c r="E38" s="45"/>
      <c r="F38" s="45"/>
      <c r="G38" s="46"/>
      <c r="H38" s="47">
        <f t="shared" si="6"/>
        <v>0</v>
      </c>
      <c r="I38" s="48">
        <f t="shared" si="7"/>
        <v>0</v>
      </c>
      <c r="J38" s="60">
        <f t="shared" si="8"/>
        <v>0</v>
      </c>
    </row>
    <row r="39" spans="1:10" s="1" customFormat="1" ht="14.25" hidden="1" outlineLevel="2" x14ac:dyDescent="0.2">
      <c r="A39" s="24" t="s">
        <v>101</v>
      </c>
      <c r="B39" s="16"/>
      <c r="C39" s="6"/>
      <c r="D39" s="6"/>
      <c r="E39" s="45"/>
      <c r="F39" s="45"/>
      <c r="G39" s="46"/>
      <c r="H39" s="47"/>
      <c r="I39" s="48"/>
      <c r="J39" s="60"/>
    </row>
    <row r="40" spans="1:10" s="23" customFormat="1" ht="15" outlineLevel="1" x14ac:dyDescent="0.2">
      <c r="A40" s="22" t="s">
        <v>19</v>
      </c>
      <c r="B40" s="28" t="s">
        <v>56</v>
      </c>
      <c r="C40" s="15"/>
      <c r="D40" s="15"/>
      <c r="E40" s="49"/>
      <c r="F40" s="50">
        <f>SUM(F41:F47)</f>
        <v>20689.65517241379</v>
      </c>
      <c r="G40" s="50">
        <f>SUM(G41:G47)</f>
        <v>275175.86206896545</v>
      </c>
      <c r="H40" s="51">
        <f>SUM(H41:H46)</f>
        <v>92285.97495586623</v>
      </c>
      <c r="I40" s="49">
        <f>SUM(I41:I46)</f>
        <v>121933.53325520339</v>
      </c>
      <c r="J40" s="61">
        <f>SUM(J41:J46)</f>
        <v>60956.353857895883</v>
      </c>
    </row>
    <row r="41" spans="1:10" s="1" customFormat="1" ht="14.25" outlineLevel="2" x14ac:dyDescent="0.2">
      <c r="A41" s="24" t="s">
        <v>102</v>
      </c>
      <c r="B41" s="25" t="s">
        <v>64</v>
      </c>
      <c r="C41" s="6"/>
      <c r="D41" s="6"/>
      <c r="E41" s="45"/>
      <c r="F41" s="45">
        <f>(15000/0.87)*1.2</f>
        <v>20689.65517241379</v>
      </c>
      <c r="G41" s="46">
        <f>F41*12</f>
        <v>248275.86206896548</v>
      </c>
      <c r="H41" s="47">
        <f t="shared" ref="H41:H46" si="9">G41*H$7/F$7</f>
        <v>83264.497898802874</v>
      </c>
      <c r="I41" s="48">
        <f t="shared" ref="I41:I46" si="10">G41*I$7/F$7</f>
        <v>110013.83935507882</v>
      </c>
      <c r="J41" s="60">
        <f t="shared" ref="J41:J46" si="11">G41*J$7/F$7</f>
        <v>54997.524815083809</v>
      </c>
    </row>
    <row r="42" spans="1:10" s="1" customFormat="1" ht="14.25" outlineLevel="2" x14ac:dyDescent="0.2">
      <c r="A42" s="24" t="s">
        <v>103</v>
      </c>
      <c r="B42" s="25" t="s">
        <v>81</v>
      </c>
      <c r="C42" s="6"/>
      <c r="D42" s="6"/>
      <c r="E42" s="45"/>
      <c r="F42" s="45"/>
      <c r="G42" s="46"/>
      <c r="H42" s="47">
        <f t="shared" si="9"/>
        <v>0</v>
      </c>
      <c r="I42" s="48">
        <f t="shared" si="10"/>
        <v>0</v>
      </c>
      <c r="J42" s="60">
        <f t="shared" si="11"/>
        <v>0</v>
      </c>
    </row>
    <row r="43" spans="1:10" s="1" customFormat="1" ht="28.5" outlineLevel="2" x14ac:dyDescent="0.2">
      <c r="A43" s="24" t="s">
        <v>104</v>
      </c>
      <c r="B43" s="25" t="s">
        <v>65</v>
      </c>
      <c r="C43" s="6"/>
      <c r="D43" s="6"/>
      <c r="E43" s="45"/>
      <c r="F43" s="45"/>
      <c r="G43" s="46"/>
      <c r="H43" s="47">
        <f t="shared" si="9"/>
        <v>0</v>
      </c>
      <c r="I43" s="48">
        <f t="shared" si="10"/>
        <v>0</v>
      </c>
      <c r="J43" s="60">
        <f t="shared" si="11"/>
        <v>0</v>
      </c>
    </row>
    <row r="44" spans="1:10" s="1" customFormat="1" ht="16.5" outlineLevel="2" x14ac:dyDescent="0.2">
      <c r="A44" s="24" t="s">
        <v>105</v>
      </c>
      <c r="B44" s="6" t="s">
        <v>29</v>
      </c>
      <c r="C44" s="6" t="s">
        <v>12</v>
      </c>
      <c r="D44" s="6">
        <f>1150*2</f>
        <v>2300</v>
      </c>
      <c r="E44" s="45">
        <v>3</v>
      </c>
      <c r="F44" s="45"/>
      <c r="G44" s="46">
        <f>D44*E44</f>
        <v>6900</v>
      </c>
      <c r="H44" s="47">
        <f t="shared" si="9"/>
        <v>2314.0591707708968</v>
      </c>
      <c r="I44" s="48">
        <f t="shared" si="10"/>
        <v>3057.4679520765662</v>
      </c>
      <c r="J44" s="60">
        <f t="shared" si="11"/>
        <v>1528.4728771525379</v>
      </c>
    </row>
    <row r="45" spans="1:10" s="1" customFormat="1" ht="14.25" outlineLevel="2" x14ac:dyDescent="0.2">
      <c r="A45" s="24" t="s">
        <v>106</v>
      </c>
      <c r="B45" s="6" t="s">
        <v>20</v>
      </c>
      <c r="C45" s="6" t="s">
        <v>138</v>
      </c>
      <c r="D45" s="6">
        <v>8</v>
      </c>
      <c r="E45" s="45">
        <v>2500</v>
      </c>
      <c r="F45" s="45"/>
      <c r="G45" s="46">
        <f>D45*E45</f>
        <v>20000</v>
      </c>
      <c r="H45" s="47">
        <f t="shared" si="9"/>
        <v>6707.4178862924546</v>
      </c>
      <c r="I45" s="48">
        <f t="shared" si="10"/>
        <v>8862.225948048017</v>
      </c>
      <c r="J45" s="60">
        <f t="shared" si="11"/>
        <v>4430.3561656595302</v>
      </c>
    </row>
    <row r="46" spans="1:10" s="1" customFormat="1" ht="14.25" outlineLevel="2" x14ac:dyDescent="0.2">
      <c r="A46" s="24" t="s">
        <v>107</v>
      </c>
      <c r="B46" s="6" t="s">
        <v>22</v>
      </c>
      <c r="C46" s="6"/>
      <c r="D46" s="6"/>
      <c r="E46" s="45"/>
      <c r="F46" s="45"/>
      <c r="G46" s="46"/>
      <c r="H46" s="47">
        <f t="shared" si="9"/>
        <v>0</v>
      </c>
      <c r="I46" s="48">
        <f t="shared" si="10"/>
        <v>0</v>
      </c>
      <c r="J46" s="60">
        <f t="shared" si="11"/>
        <v>0</v>
      </c>
    </row>
    <row r="47" spans="1:10" s="1" customFormat="1" ht="14.25" hidden="1" outlineLevel="2" x14ac:dyDescent="0.2">
      <c r="A47" s="24" t="s">
        <v>108</v>
      </c>
      <c r="B47" s="6"/>
      <c r="C47" s="6"/>
      <c r="D47" s="6"/>
      <c r="E47" s="45"/>
      <c r="F47" s="45"/>
      <c r="G47" s="46"/>
      <c r="H47" s="47"/>
      <c r="I47" s="48"/>
      <c r="J47" s="60"/>
    </row>
    <row r="48" spans="1:10" s="23" customFormat="1" ht="15" outlineLevel="1" x14ac:dyDescent="0.2">
      <c r="A48" s="22" t="s">
        <v>21</v>
      </c>
      <c r="B48" s="28" t="s">
        <v>26</v>
      </c>
      <c r="C48" s="15"/>
      <c r="D48" s="15"/>
      <c r="E48" s="49"/>
      <c r="F48" s="50">
        <f>SUM(F49:F52)</f>
        <v>12626.55</v>
      </c>
      <c r="G48" s="50">
        <f>SUM(G49:G52)</f>
        <v>151518.59999999998</v>
      </c>
      <c r="H48" s="51">
        <f>SUM(H49:H52)</f>
        <v>50814.928387299587</v>
      </c>
      <c r="I48" s="49">
        <f>SUM(I49:I52)</f>
        <v>67139.603426595408</v>
      </c>
      <c r="J48" s="61">
        <f>SUM(J49:J52)</f>
        <v>33564.068186104996</v>
      </c>
    </row>
    <row r="49" spans="1:10" s="1" customFormat="1" ht="28.5" outlineLevel="2" x14ac:dyDescent="0.2">
      <c r="A49" s="24" t="s">
        <v>109</v>
      </c>
      <c r="B49" s="25" t="s">
        <v>126</v>
      </c>
      <c r="C49" s="16" t="s">
        <v>123</v>
      </c>
      <c r="D49" s="6">
        <f>2774</f>
        <v>2774</v>
      </c>
      <c r="E49" s="45">
        <v>1.2</v>
      </c>
      <c r="F49" s="45">
        <f>D49*E49</f>
        <v>3328.7999999999997</v>
      </c>
      <c r="G49" s="46">
        <f>F49*12</f>
        <v>39945.599999999999</v>
      </c>
      <c r="H49" s="47">
        <f t="shared" ref="H49:H52" si="12">G49*H$7/F$7</f>
        <v>13396.591595934193</v>
      </c>
      <c r="I49" s="48">
        <f t="shared" ref="I49:I52" si="13">G49*I$7/F$7</f>
        <v>17700.346641517343</v>
      </c>
      <c r="J49" s="60">
        <f t="shared" ref="J49:J52" si="14">G49*J$7/F$7</f>
        <v>8848.6617625484669</v>
      </c>
    </row>
    <row r="50" spans="1:10" s="1" customFormat="1" ht="28.5" outlineLevel="2" x14ac:dyDescent="0.2">
      <c r="A50" s="24" t="s">
        <v>110</v>
      </c>
      <c r="B50" s="25" t="s">
        <v>124</v>
      </c>
      <c r="C50" s="16" t="s">
        <v>121</v>
      </c>
      <c r="D50" s="6">
        <v>9</v>
      </c>
      <c r="E50" s="45">
        <f>3*200*1.265</f>
        <v>758.99999999999989</v>
      </c>
      <c r="F50" s="45">
        <f>D50*E50</f>
        <v>6830.9999999999991</v>
      </c>
      <c r="G50" s="46">
        <f>F50*12</f>
        <v>81971.999999999985</v>
      </c>
      <c r="H50" s="47">
        <f t="shared" si="12"/>
        <v>27491.022948758251</v>
      </c>
      <c r="I50" s="48">
        <f t="shared" si="13"/>
        <v>36322.719270669601</v>
      </c>
      <c r="J50" s="60">
        <f t="shared" si="14"/>
        <v>18158.257780572145</v>
      </c>
    </row>
    <row r="51" spans="1:10" s="1" customFormat="1" ht="28.5" outlineLevel="2" x14ac:dyDescent="0.2">
      <c r="A51" s="24" t="s">
        <v>144</v>
      </c>
      <c r="B51" s="25" t="s">
        <v>125</v>
      </c>
      <c r="C51" s="16" t="s">
        <v>121</v>
      </c>
      <c r="D51" s="6">
        <v>3</v>
      </c>
      <c r="E51" s="45">
        <f>1*300*1.265</f>
        <v>379.49999999999994</v>
      </c>
      <c r="F51" s="45">
        <f>D51*E51</f>
        <v>1138.4999999999998</v>
      </c>
      <c r="G51" s="46">
        <f>F51*12</f>
        <v>13661.999999999996</v>
      </c>
      <c r="H51" s="47">
        <f t="shared" si="12"/>
        <v>4581.8371581263746</v>
      </c>
      <c r="I51" s="48">
        <f t="shared" si="13"/>
        <v>6053.7865451115995</v>
      </c>
      <c r="J51" s="60">
        <f t="shared" si="14"/>
        <v>3026.3762967620241</v>
      </c>
    </row>
    <row r="52" spans="1:10" s="1" customFormat="1" ht="42.75" outlineLevel="2" x14ac:dyDescent="0.2">
      <c r="A52" s="24" t="s">
        <v>145</v>
      </c>
      <c r="B52" s="25" t="s">
        <v>127</v>
      </c>
      <c r="C52" s="16" t="s">
        <v>121</v>
      </c>
      <c r="D52" s="6">
        <v>3</v>
      </c>
      <c r="E52" s="45">
        <f>1*350*1.265</f>
        <v>442.74999999999994</v>
      </c>
      <c r="F52" s="45">
        <f>D52*E52</f>
        <v>1328.2499999999998</v>
      </c>
      <c r="G52" s="46">
        <f>F52*12</f>
        <v>15938.999999999996</v>
      </c>
      <c r="H52" s="47">
        <f t="shared" si="12"/>
        <v>5345.4766844807709</v>
      </c>
      <c r="I52" s="48">
        <f t="shared" si="13"/>
        <v>7062.7509692968661</v>
      </c>
      <c r="J52" s="60">
        <f t="shared" si="14"/>
        <v>3530.7723462223616</v>
      </c>
    </row>
    <row r="53" spans="1:10" s="23" customFormat="1" ht="30" outlineLevel="1" x14ac:dyDescent="0.2">
      <c r="A53" s="22" t="s">
        <v>23</v>
      </c>
      <c r="B53" s="28" t="s">
        <v>147</v>
      </c>
      <c r="C53" s="15"/>
      <c r="D53" s="15"/>
      <c r="E53" s="49"/>
      <c r="F53" s="49">
        <f>SUM(F54:F55)</f>
        <v>15019.059689999998</v>
      </c>
      <c r="G53" s="50">
        <f>SUM(G54:G55)</f>
        <v>180228.71627999999</v>
      </c>
      <c r="H53" s="51">
        <f>SUM(H54:H56)</f>
        <v>60443.465760000006</v>
      </c>
      <c r="I53" s="49">
        <f>SUM(I54:I56)</f>
        <v>79861.38029999999</v>
      </c>
      <c r="J53" s="61">
        <f>SUM(J54:J56)</f>
        <v>39923.870220000004</v>
      </c>
    </row>
    <row r="54" spans="1:10" s="1" customFormat="1" ht="14.25" outlineLevel="2" x14ac:dyDescent="0.2">
      <c r="A54" s="24" t="s">
        <v>111</v>
      </c>
      <c r="B54" s="25" t="s">
        <v>136</v>
      </c>
      <c r="C54" s="16" t="s">
        <v>122</v>
      </c>
      <c r="D54" s="45">
        <f>D7*F8</f>
        <v>448330.13999999996</v>
      </c>
      <c r="E54" s="58">
        <v>1.8499999999999999E-2</v>
      </c>
      <c r="F54" s="45">
        <f>D54*E54</f>
        <v>8294.1075899999996</v>
      </c>
      <c r="G54" s="46">
        <f>F54*12</f>
        <v>99529.291079999995</v>
      </c>
      <c r="H54" s="47">
        <f t="shared" ref="H54:H55" si="15">G54*H$7/F$7</f>
        <v>33379.227360000004</v>
      </c>
      <c r="I54" s="48">
        <f t="shared" ref="I54:I55" si="16">G54*I$7/F$7</f>
        <v>44102.5533</v>
      </c>
      <c r="J54" s="60">
        <f t="shared" ref="J54:J55" si="17">G54*J$7/F$7</f>
        <v>22047.510420000002</v>
      </c>
    </row>
    <row r="55" spans="1:10" s="1" customFormat="1" ht="14.25" outlineLevel="2" x14ac:dyDescent="0.2">
      <c r="A55" s="24" t="s">
        <v>112</v>
      </c>
      <c r="B55" s="25" t="s">
        <v>79</v>
      </c>
      <c r="C55" s="16" t="s">
        <v>122</v>
      </c>
      <c r="D55" s="45">
        <f>D54</f>
        <v>448330.13999999996</v>
      </c>
      <c r="E55" s="58">
        <v>1.4999999999999999E-2</v>
      </c>
      <c r="F55" s="45">
        <f>D55*E55</f>
        <v>6724.9520999999995</v>
      </c>
      <c r="G55" s="46">
        <f>F55*12</f>
        <v>80699.425199999998</v>
      </c>
      <c r="H55" s="47">
        <f t="shared" si="15"/>
        <v>27064.238400000006</v>
      </c>
      <c r="I55" s="48">
        <f t="shared" si="16"/>
        <v>35758.826999999997</v>
      </c>
      <c r="J55" s="60">
        <f t="shared" si="17"/>
        <v>17876.359800000002</v>
      </c>
    </row>
    <row r="56" spans="1:10" s="1" customFormat="1" ht="14.25" hidden="1" outlineLevel="1" x14ac:dyDescent="0.2">
      <c r="A56" s="24" t="s">
        <v>113</v>
      </c>
      <c r="B56" s="11"/>
      <c r="C56" s="6"/>
      <c r="D56" s="6"/>
      <c r="E56" s="45"/>
      <c r="F56" s="45"/>
      <c r="G56" s="46"/>
      <c r="H56" s="47"/>
      <c r="I56" s="48"/>
      <c r="J56" s="60"/>
    </row>
    <row r="57" spans="1:10" s="23" customFormat="1" ht="15" outlineLevel="1" x14ac:dyDescent="0.2">
      <c r="A57" s="22" t="s">
        <v>25</v>
      </c>
      <c r="B57" s="28" t="s">
        <v>28</v>
      </c>
      <c r="C57" s="15"/>
      <c r="D57" s="15"/>
      <c r="E57" s="49"/>
      <c r="F57" s="50">
        <f>SUM(F58:F64)</f>
        <v>0</v>
      </c>
      <c r="G57" s="50">
        <f>SUM(G58:G64)</f>
        <v>142854</v>
      </c>
      <c r="H57" s="51">
        <f>SUM(H58:H63)</f>
        <v>47909.073736421124</v>
      </c>
      <c r="I57" s="49">
        <f>SUM(I58:I63)</f>
        <v>63300.221279122576</v>
      </c>
      <c r="J57" s="61">
        <f>SUM(J58:J63)</f>
        <v>31644.704984456323</v>
      </c>
    </row>
    <row r="58" spans="1:10" s="1" customFormat="1" ht="14.25" outlineLevel="2" x14ac:dyDescent="0.2">
      <c r="A58" s="24" t="s">
        <v>114</v>
      </c>
      <c r="B58" s="25" t="s">
        <v>129</v>
      </c>
      <c r="C58" s="16" t="s">
        <v>131</v>
      </c>
      <c r="D58" s="16" t="s">
        <v>130</v>
      </c>
      <c r="E58" s="45">
        <f>3500*1.265</f>
        <v>4427.5</v>
      </c>
      <c r="F58" s="45"/>
      <c r="G58" s="46">
        <f>E58*6</f>
        <v>26565</v>
      </c>
      <c r="H58" s="47">
        <f t="shared" ref="H58:H63" si="18">G58*H$7/F$7</f>
        <v>8909.127807467954</v>
      </c>
      <c r="I58" s="48">
        <f t="shared" ref="I58:I63" si="19">G58*I$7/F$7</f>
        <v>11771.251615494779</v>
      </c>
      <c r="J58" s="60">
        <f t="shared" ref="J58:J63" si="20">G58*J$7/F$7</f>
        <v>5884.6205770372708</v>
      </c>
    </row>
    <row r="59" spans="1:10" s="1" customFormat="1" ht="14.25" outlineLevel="2" x14ac:dyDescent="0.2">
      <c r="A59" s="24" t="s">
        <v>115</v>
      </c>
      <c r="B59" s="25" t="s">
        <v>59</v>
      </c>
      <c r="C59" s="16" t="s">
        <v>131</v>
      </c>
      <c r="D59" s="16" t="s">
        <v>130</v>
      </c>
      <c r="E59" s="45">
        <f>7500</f>
        <v>7500</v>
      </c>
      <c r="F59" s="45"/>
      <c r="G59" s="46">
        <f>E59*9</f>
        <v>67500</v>
      </c>
      <c r="H59" s="47">
        <f t="shared" si="18"/>
        <v>22637.535366237036</v>
      </c>
      <c r="I59" s="48">
        <f t="shared" si="19"/>
        <v>29910.012574662062</v>
      </c>
      <c r="J59" s="60">
        <f t="shared" si="20"/>
        <v>14952.452059100913</v>
      </c>
    </row>
    <row r="60" spans="1:10" s="1" customFormat="1" ht="14.25" outlineLevel="2" x14ac:dyDescent="0.2">
      <c r="A60" s="24" t="s">
        <v>116</v>
      </c>
      <c r="B60" s="25" t="s">
        <v>60</v>
      </c>
      <c r="C60" s="16" t="s">
        <v>131</v>
      </c>
      <c r="D60" s="16" t="s">
        <v>130</v>
      </c>
      <c r="E60" s="45">
        <v>3650</v>
      </c>
      <c r="F60" s="45"/>
      <c r="G60" s="46">
        <f>E60*9</f>
        <v>32850</v>
      </c>
      <c r="H60" s="47">
        <f t="shared" si="18"/>
        <v>11016.933878235357</v>
      </c>
      <c r="I60" s="48">
        <f t="shared" si="19"/>
        <v>14556.206119668868</v>
      </c>
      <c r="J60" s="60">
        <f t="shared" si="20"/>
        <v>7276.8600020957783</v>
      </c>
    </row>
    <row r="61" spans="1:10" s="1" customFormat="1" ht="14.25" outlineLevel="2" x14ac:dyDescent="0.2">
      <c r="A61" s="24" t="s">
        <v>117</v>
      </c>
      <c r="B61" s="25" t="s">
        <v>62</v>
      </c>
      <c r="C61" s="6"/>
      <c r="D61" s="6"/>
      <c r="E61" s="45"/>
      <c r="F61" s="45"/>
      <c r="G61" s="46"/>
      <c r="H61" s="47">
        <f t="shared" si="18"/>
        <v>0</v>
      </c>
      <c r="I61" s="48">
        <f t="shared" si="19"/>
        <v>0</v>
      </c>
      <c r="J61" s="60">
        <f t="shared" si="20"/>
        <v>0</v>
      </c>
    </row>
    <row r="62" spans="1:10" s="1" customFormat="1" ht="42.75" outlineLevel="2" x14ac:dyDescent="0.2">
      <c r="A62" s="24" t="s">
        <v>118</v>
      </c>
      <c r="B62" s="25" t="s">
        <v>63</v>
      </c>
      <c r="C62" s="6"/>
      <c r="D62" s="6"/>
      <c r="E62" s="45"/>
      <c r="F62" s="45"/>
      <c r="G62" s="46"/>
      <c r="H62" s="47">
        <f t="shared" si="18"/>
        <v>0</v>
      </c>
      <c r="I62" s="48">
        <f t="shared" si="19"/>
        <v>0</v>
      </c>
      <c r="J62" s="60">
        <f t="shared" si="20"/>
        <v>0</v>
      </c>
    </row>
    <row r="63" spans="1:10" s="1" customFormat="1" ht="28.5" outlineLevel="2" x14ac:dyDescent="0.2">
      <c r="A63" s="24" t="s">
        <v>119</v>
      </c>
      <c r="B63" s="25" t="s">
        <v>61</v>
      </c>
      <c r="C63" s="16" t="s">
        <v>132</v>
      </c>
      <c r="D63" s="16" t="s">
        <v>130</v>
      </c>
      <c r="E63" s="45">
        <f>4*350*1.265</f>
        <v>1770.9999999999998</v>
      </c>
      <c r="F63" s="45"/>
      <c r="G63" s="46">
        <f>E63*9</f>
        <v>15938.999999999998</v>
      </c>
      <c r="H63" s="47">
        <f t="shared" si="18"/>
        <v>5345.4766844807709</v>
      </c>
      <c r="I63" s="48">
        <f t="shared" si="19"/>
        <v>7062.750969296867</v>
      </c>
      <c r="J63" s="60">
        <f t="shared" si="20"/>
        <v>3530.7723462223616</v>
      </c>
    </row>
    <row r="64" spans="1:10" s="1" customFormat="1" ht="14.25" hidden="1" outlineLevel="2" x14ac:dyDescent="0.2">
      <c r="A64" s="24" t="s">
        <v>120</v>
      </c>
      <c r="B64" s="6"/>
      <c r="C64" s="6"/>
      <c r="D64" s="6"/>
      <c r="E64" s="45"/>
      <c r="F64" s="45"/>
      <c r="G64" s="46"/>
      <c r="H64" s="47"/>
      <c r="I64" s="48"/>
      <c r="J64" s="60"/>
    </row>
    <row r="65" spans="1:13" s="23" customFormat="1" ht="30.75" outlineLevel="1" x14ac:dyDescent="0.2">
      <c r="A65" s="22" t="s">
        <v>148</v>
      </c>
      <c r="B65" s="123" t="s">
        <v>178</v>
      </c>
      <c r="C65" s="15"/>
      <c r="D65" s="15"/>
      <c r="E65" s="49"/>
      <c r="F65" s="50">
        <f>SUM(F66:F71)</f>
        <v>40577.522649999999</v>
      </c>
      <c r="G65" s="50">
        <f>SUM(G66:G71)</f>
        <v>486930.27179999999</v>
      </c>
      <c r="H65" s="51">
        <f>SUM(H66:H71)</f>
        <v>163302.24072242834</v>
      </c>
      <c r="I65" s="49">
        <f>SUM(I66:I71)</f>
        <v>215764.30448180169</v>
      </c>
      <c r="J65" s="61">
        <f>SUM(J66:J71)</f>
        <v>107863.72659577003</v>
      </c>
      <c r="M65" s="122"/>
    </row>
    <row r="66" spans="1:13" s="1" customFormat="1" ht="28.5" outlineLevel="2" x14ac:dyDescent="0.2">
      <c r="A66" s="24" t="s">
        <v>149</v>
      </c>
      <c r="B66" s="25" t="s">
        <v>77</v>
      </c>
      <c r="C66" s="6"/>
      <c r="D66" s="6"/>
      <c r="E66" s="45"/>
      <c r="F66" s="45">
        <f>F7*0.5</f>
        <v>8588.6999999999989</v>
      </c>
      <c r="G66" s="46">
        <f t="shared" ref="G66:G71" si="21">F66*12</f>
        <v>103064.4</v>
      </c>
      <c r="H66" s="47">
        <f t="shared" ref="H66:H71" si="22">G66*H$7/F$7</f>
        <v>34564.800000000003</v>
      </c>
      <c r="I66" s="48">
        <f t="shared" ref="I66:I71" si="23">G66*I$7/F$7</f>
        <v>45669</v>
      </c>
      <c r="J66" s="60">
        <f t="shared" ref="J66:J71" si="24">G66*J$7/F$7</f>
        <v>22830.600000000002</v>
      </c>
    </row>
    <row r="67" spans="1:13" s="1" customFormat="1" ht="14.25" outlineLevel="2" x14ac:dyDescent="0.2">
      <c r="A67" s="24" t="s">
        <v>150</v>
      </c>
      <c r="B67" s="25" t="s">
        <v>78</v>
      </c>
      <c r="C67" s="6"/>
      <c r="D67" s="6"/>
      <c r="E67" s="45"/>
      <c r="F67" s="45">
        <v>6000</v>
      </c>
      <c r="G67" s="46">
        <f t="shared" si="21"/>
        <v>72000</v>
      </c>
      <c r="H67" s="47">
        <f t="shared" si="22"/>
        <v>24146.704390652838</v>
      </c>
      <c r="I67" s="48">
        <f t="shared" si="23"/>
        <v>31904.013412972865</v>
      </c>
      <c r="J67" s="60">
        <f t="shared" si="24"/>
        <v>15949.282196374308</v>
      </c>
    </row>
    <row r="68" spans="1:13" s="1" customFormat="1" ht="14.25" outlineLevel="2" x14ac:dyDescent="0.2">
      <c r="A68" s="24" t="s">
        <v>151</v>
      </c>
      <c r="B68" s="25" t="s">
        <v>159</v>
      </c>
      <c r="C68" s="6"/>
      <c r="D68" s="6"/>
      <c r="E68" s="45"/>
      <c r="F68" s="45">
        <v>1000</v>
      </c>
      <c r="G68" s="46">
        <f t="shared" si="21"/>
        <v>12000</v>
      </c>
      <c r="H68" s="47">
        <f t="shared" si="22"/>
        <v>4024.4507317754728</v>
      </c>
      <c r="I68" s="48">
        <f t="shared" si="23"/>
        <v>5317.3355688288102</v>
      </c>
      <c r="J68" s="60">
        <f t="shared" si="24"/>
        <v>2658.2136993957179</v>
      </c>
    </row>
    <row r="69" spans="1:13" s="1" customFormat="1" ht="19.899999999999999" customHeight="1" outlineLevel="2" x14ac:dyDescent="0.2">
      <c r="A69" s="24" t="s">
        <v>152</v>
      </c>
      <c r="B69" s="11" t="s">
        <v>32</v>
      </c>
      <c r="C69" s="6"/>
      <c r="D69" s="6">
        <f>D7</f>
        <v>17177.399999999998</v>
      </c>
      <c r="E69" s="45">
        <v>1</v>
      </c>
      <c r="F69" s="45">
        <f>D69*E69</f>
        <v>17177.399999999998</v>
      </c>
      <c r="G69" s="46">
        <f t="shared" si="21"/>
        <v>206128.8</v>
      </c>
      <c r="H69" s="47">
        <f t="shared" si="22"/>
        <v>69129.600000000006</v>
      </c>
      <c r="I69" s="48">
        <f t="shared" si="23"/>
        <v>91338</v>
      </c>
      <c r="J69" s="60">
        <f t="shared" si="24"/>
        <v>45661.200000000004</v>
      </c>
    </row>
    <row r="70" spans="1:13" s="1" customFormat="1" ht="14.25" outlineLevel="2" x14ac:dyDescent="0.2">
      <c r="A70" s="24" t="s">
        <v>153</v>
      </c>
      <c r="B70" s="11" t="s">
        <v>33</v>
      </c>
      <c r="C70" s="6"/>
      <c r="D70" s="6">
        <f>D69</f>
        <v>17177.399999999998</v>
      </c>
      <c r="E70" s="45">
        <v>0.15</v>
      </c>
      <c r="F70" s="45">
        <f>D70*E70</f>
        <v>2576.6099999999997</v>
      </c>
      <c r="G70" s="46">
        <f t="shared" si="21"/>
        <v>30919.319999999996</v>
      </c>
      <c r="H70" s="47">
        <f t="shared" si="22"/>
        <v>10369.44</v>
      </c>
      <c r="I70" s="48">
        <f t="shared" si="23"/>
        <v>13700.7</v>
      </c>
      <c r="J70" s="60">
        <f t="shared" si="24"/>
        <v>6849.1799999999994</v>
      </c>
    </row>
    <row r="71" spans="1:13" s="1" customFormat="1" ht="14.25" outlineLevel="2" x14ac:dyDescent="0.2">
      <c r="A71" s="24" t="s">
        <v>154</v>
      </c>
      <c r="B71" s="11" t="s">
        <v>34</v>
      </c>
      <c r="C71" s="6"/>
      <c r="D71" s="6"/>
      <c r="E71" s="45"/>
      <c r="F71" s="45">
        <f>(F69+F70)*0.265</f>
        <v>5234.8126499999998</v>
      </c>
      <c r="G71" s="46">
        <f t="shared" si="21"/>
        <v>62817.751799999998</v>
      </c>
      <c r="H71" s="47">
        <f t="shared" si="22"/>
        <v>21067.245600000002</v>
      </c>
      <c r="I71" s="48">
        <f t="shared" si="23"/>
        <v>27835.255500000003</v>
      </c>
      <c r="J71" s="60">
        <f t="shared" si="24"/>
        <v>13915.250700000001</v>
      </c>
    </row>
    <row r="72" spans="1:13" s="10" customFormat="1" ht="15.75" outlineLevel="1" thickBot="1" x14ac:dyDescent="0.25">
      <c r="A72" s="8"/>
      <c r="B72" s="9" t="s">
        <v>35</v>
      </c>
      <c r="C72" s="9"/>
      <c r="D72" s="9">
        <f>D7</f>
        <v>17177.399999999998</v>
      </c>
      <c r="E72" s="53"/>
      <c r="F72" s="53"/>
      <c r="G72" s="54">
        <f>G13/12/D72</f>
        <v>21.32322642653024</v>
      </c>
      <c r="H72" s="51"/>
      <c r="I72" s="49"/>
      <c r="J72" s="62"/>
    </row>
    <row r="73" spans="1:13" s="1" customFormat="1" ht="15" hidden="1" thickBot="1" x14ac:dyDescent="0.25">
      <c r="A73" s="75"/>
      <c r="B73" s="76"/>
      <c r="C73" s="76"/>
      <c r="D73" s="76"/>
      <c r="E73" s="77"/>
      <c r="F73" s="77"/>
      <c r="G73" s="78"/>
      <c r="H73" s="79"/>
      <c r="I73" s="80"/>
      <c r="J73" s="81"/>
    </row>
    <row r="74" spans="1:13" s="2" customFormat="1" ht="29.25" hidden="1" thickBot="1" x14ac:dyDescent="0.25">
      <c r="A74" s="82" t="s">
        <v>2</v>
      </c>
      <c r="B74" s="83" t="s">
        <v>3</v>
      </c>
      <c r="C74" s="83" t="s">
        <v>4</v>
      </c>
      <c r="D74" s="83" t="s">
        <v>5</v>
      </c>
      <c r="E74" s="84" t="s">
        <v>6</v>
      </c>
      <c r="F74" s="85" t="s">
        <v>7</v>
      </c>
      <c r="G74" s="86" t="s">
        <v>8</v>
      </c>
      <c r="H74" s="39" t="s">
        <v>46</v>
      </c>
      <c r="I74" s="39" t="s">
        <v>47</v>
      </c>
      <c r="J74" s="40" t="s">
        <v>48</v>
      </c>
    </row>
    <row r="75" spans="1:13" s="10" customFormat="1" ht="15.75" thickBot="1" x14ac:dyDescent="0.25">
      <c r="A75" s="90">
        <v>2</v>
      </c>
      <c r="B75" s="91" t="s">
        <v>68</v>
      </c>
      <c r="C75" s="92"/>
      <c r="D75" s="92"/>
      <c r="E75" s="93"/>
      <c r="F75" s="93"/>
      <c r="G75" s="94">
        <f>SUM(G76:G84)</f>
        <v>984130.59800000011</v>
      </c>
      <c r="H75" s="95">
        <f>SUM(H77:H84)</f>
        <v>326191.99162748724</v>
      </c>
      <c r="I75" s="96">
        <f>SUM(I77:I84)</f>
        <v>430983.60602722183</v>
      </c>
      <c r="J75" s="97">
        <f>SUM(J77:J84)</f>
        <v>215455.00234529091</v>
      </c>
    </row>
    <row r="76" spans="1:13" s="1" customFormat="1" ht="14.25" x14ac:dyDescent="0.2">
      <c r="A76" s="17"/>
      <c r="B76" s="19" t="s">
        <v>9</v>
      </c>
      <c r="C76" s="19"/>
      <c r="D76" s="19"/>
      <c r="E76" s="41"/>
      <c r="F76" s="41"/>
      <c r="G76" s="42"/>
      <c r="H76" s="98"/>
      <c r="I76" s="99"/>
      <c r="J76" s="59"/>
    </row>
    <row r="77" spans="1:13" s="1" customFormat="1" ht="16.5" x14ac:dyDescent="0.2">
      <c r="A77" s="5" t="s">
        <v>36</v>
      </c>
      <c r="B77" s="16" t="s">
        <v>143</v>
      </c>
      <c r="C77" s="6" t="s">
        <v>12</v>
      </c>
      <c r="D77" s="6">
        <f>D85</f>
        <v>17177.399999999998</v>
      </c>
      <c r="E77" s="45">
        <v>0.97499999999999998</v>
      </c>
      <c r="F77" s="45">
        <f>D77*E77</f>
        <v>16747.964999999997</v>
      </c>
      <c r="G77" s="46">
        <f>F77*12</f>
        <v>200975.57999999996</v>
      </c>
      <c r="H77" s="47">
        <f t="shared" ref="H77:H81" si="25">G77*H$7/F$7</f>
        <v>67401.359999999986</v>
      </c>
      <c r="I77" s="48">
        <f t="shared" ref="I77:I81" si="26">G77*I$7/F$7</f>
        <v>89054.549999999988</v>
      </c>
      <c r="J77" s="60">
        <f t="shared" ref="J77:J81" si="27">G77*J$7/F$7</f>
        <v>44519.67</v>
      </c>
    </row>
    <row r="78" spans="1:13" s="1" customFormat="1" ht="16.5" x14ac:dyDescent="0.2">
      <c r="A78" s="5" t="s">
        <v>37</v>
      </c>
      <c r="B78" s="6" t="s">
        <v>38</v>
      </c>
      <c r="C78" s="6" t="s">
        <v>12</v>
      </c>
      <c r="D78" s="6">
        <v>100</v>
      </c>
      <c r="E78" s="45">
        <v>836.05</v>
      </c>
      <c r="F78" s="45"/>
      <c r="G78" s="46">
        <f>D78*E78+0.41</f>
        <v>83605.41</v>
      </c>
      <c r="H78" s="47">
        <f>50349.06</f>
        <v>50349.06</v>
      </c>
      <c r="I78" s="48"/>
      <c r="J78" s="60">
        <f>33256.35</f>
        <v>33256.35</v>
      </c>
    </row>
    <row r="79" spans="1:13" s="1" customFormat="1" ht="16.5" x14ac:dyDescent="0.2">
      <c r="A79" s="5" t="s">
        <v>39</v>
      </c>
      <c r="B79" s="16" t="s">
        <v>142</v>
      </c>
      <c r="C79" s="6" t="s">
        <v>12</v>
      </c>
      <c r="D79" s="6"/>
      <c r="E79" s="45"/>
      <c r="F79" s="45"/>
      <c r="G79" s="46">
        <v>150000</v>
      </c>
      <c r="H79" s="47"/>
      <c r="I79" s="48">
        <f>G79</f>
        <v>150000</v>
      </c>
      <c r="J79" s="60"/>
    </row>
    <row r="80" spans="1:13" s="1" customFormat="1" ht="28.5" x14ac:dyDescent="0.2">
      <c r="A80" s="5" t="s">
        <v>40</v>
      </c>
      <c r="B80" s="25" t="s">
        <v>128</v>
      </c>
      <c r="C80" s="16" t="s">
        <v>123</v>
      </c>
      <c r="D80" s="6">
        <f>D77</f>
        <v>17177.399999999998</v>
      </c>
      <c r="E80" s="45">
        <v>0.46</v>
      </c>
      <c r="F80" s="45">
        <f>D80*E80</f>
        <v>7901.6039999999994</v>
      </c>
      <c r="G80" s="46">
        <f>D80*E80*12-529.09</f>
        <v>94290.157999999996</v>
      </c>
      <c r="H80" s="47">
        <f>48390.72</f>
        <v>48390.720000000001</v>
      </c>
      <c r="I80" s="48">
        <v>13936.6</v>
      </c>
      <c r="J80" s="60">
        <v>31962.84</v>
      </c>
    </row>
    <row r="81" spans="1:10" s="1" customFormat="1" ht="14.25" outlineLevel="2" x14ac:dyDescent="0.2">
      <c r="A81" s="24" t="s">
        <v>41</v>
      </c>
      <c r="B81" s="25" t="s">
        <v>58</v>
      </c>
      <c r="C81" s="16" t="s">
        <v>121</v>
      </c>
      <c r="D81" s="100" t="s">
        <v>158</v>
      </c>
      <c r="E81" s="45">
        <v>3700</v>
      </c>
      <c r="F81" s="45"/>
      <c r="G81" s="46">
        <f>E81*70</f>
        <v>259000</v>
      </c>
      <c r="H81" s="47">
        <f t="shared" si="25"/>
        <v>86861.061627487288</v>
      </c>
      <c r="I81" s="48">
        <f t="shared" si="26"/>
        <v>114765.82602722183</v>
      </c>
      <c r="J81" s="60">
        <f t="shared" si="27"/>
        <v>57373.112345290916</v>
      </c>
    </row>
    <row r="82" spans="1:10" s="1" customFormat="1" ht="14.25" x14ac:dyDescent="0.2">
      <c r="A82" s="5" t="s">
        <v>42</v>
      </c>
      <c r="B82" s="16" t="s">
        <v>137</v>
      </c>
      <c r="C82" s="16" t="s">
        <v>121</v>
      </c>
      <c r="D82" s="16">
        <v>3</v>
      </c>
      <c r="E82" s="45">
        <v>3227.56</v>
      </c>
      <c r="F82" s="45">
        <f>D82*E82</f>
        <v>9682.68</v>
      </c>
      <c r="G82" s="46">
        <f>F82*12-68.1</f>
        <v>116124.06</v>
      </c>
      <c r="H82" s="47">
        <v>43464.06</v>
      </c>
      <c r="I82" s="48">
        <v>43951.29</v>
      </c>
      <c r="J82" s="60">
        <v>28708.71</v>
      </c>
    </row>
    <row r="83" spans="1:10" s="1" customFormat="1" ht="14.25" x14ac:dyDescent="0.2">
      <c r="A83" s="24" t="s">
        <v>43</v>
      </c>
      <c r="B83" s="16" t="s">
        <v>161</v>
      </c>
      <c r="C83" s="16" t="s">
        <v>162</v>
      </c>
      <c r="D83" s="16">
        <v>80</v>
      </c>
      <c r="E83" s="45">
        <v>750</v>
      </c>
      <c r="F83" s="45"/>
      <c r="G83" s="46">
        <f>D83*E83</f>
        <v>60000</v>
      </c>
      <c r="H83" s="47"/>
      <c r="I83" s="48"/>
      <c r="J83" s="60"/>
    </row>
    <row r="84" spans="1:10" s="1" customFormat="1" ht="14.25" x14ac:dyDescent="0.2">
      <c r="A84" s="24" t="s">
        <v>160</v>
      </c>
      <c r="B84" s="16" t="s">
        <v>146</v>
      </c>
      <c r="C84" s="16" t="s">
        <v>122</v>
      </c>
      <c r="D84" s="6"/>
      <c r="E84" s="45"/>
      <c r="F84" s="45">
        <f>G84/12</f>
        <v>1677.9491666666665</v>
      </c>
      <c r="G84" s="46">
        <v>20135.39</v>
      </c>
      <c r="H84" s="47">
        <f>29725.73</f>
        <v>29725.73</v>
      </c>
      <c r="I84" s="48">
        <f>19275.34</f>
        <v>19275.34</v>
      </c>
      <c r="J84" s="60">
        <f>19634.32</f>
        <v>19634.32</v>
      </c>
    </row>
    <row r="85" spans="1:10" s="10" customFormat="1" ht="15" x14ac:dyDescent="0.2">
      <c r="A85" s="8"/>
      <c r="B85" s="9" t="s">
        <v>44</v>
      </c>
      <c r="C85" s="9"/>
      <c r="D85" s="9">
        <f>D7</f>
        <v>17177.399999999998</v>
      </c>
      <c r="E85" s="53"/>
      <c r="F85" s="53"/>
      <c r="G85" s="54">
        <f>G75/12/D85</f>
        <v>4.7743478737566045</v>
      </c>
      <c r="H85" s="51"/>
      <c r="I85" s="49"/>
      <c r="J85" s="62"/>
    </row>
    <row r="86" spans="1:10" s="1" customFormat="1" ht="15" hidden="1" thickBot="1" x14ac:dyDescent="0.25">
      <c r="A86" s="12"/>
      <c r="B86" s="13"/>
      <c r="C86" s="13"/>
      <c r="D86" s="13"/>
      <c r="E86" s="55"/>
      <c r="F86" s="55"/>
      <c r="G86" s="56"/>
      <c r="H86" s="63"/>
      <c r="I86" s="64"/>
      <c r="J86" s="65"/>
    </row>
    <row r="87" spans="1:10" s="1" customFormat="1" ht="14.25" hidden="1" x14ac:dyDescent="0.2">
      <c r="E87" s="32"/>
      <c r="F87" s="32"/>
      <c r="G87" s="32"/>
      <c r="H87" s="33"/>
      <c r="I87" s="33"/>
      <c r="J87" s="33"/>
    </row>
    <row r="88" spans="1:10" s="124" customFormat="1" ht="15.75" x14ac:dyDescent="0.2">
      <c r="B88" s="124" t="s">
        <v>45</v>
      </c>
      <c r="E88" s="125"/>
      <c r="F88" s="125"/>
      <c r="G88" s="125">
        <f>G72+G85</f>
        <v>26.097574300286844</v>
      </c>
      <c r="H88" s="126" t="s">
        <v>181</v>
      </c>
      <c r="I88" s="126"/>
      <c r="J88" s="126"/>
    </row>
    <row r="89" spans="1:10" s="1" customFormat="1" ht="14.25" x14ac:dyDescent="0.2">
      <c r="E89" s="32"/>
      <c r="F89" s="32"/>
      <c r="G89" s="32"/>
      <c r="H89" s="33"/>
      <c r="I89" s="33"/>
      <c r="J89" s="33"/>
    </row>
    <row r="90" spans="1:10" s="127" customFormat="1" ht="15" x14ac:dyDescent="0.2">
      <c r="B90" s="127" t="s">
        <v>179</v>
      </c>
      <c r="E90" s="128"/>
      <c r="F90" s="128"/>
      <c r="G90" s="128" t="s">
        <v>180</v>
      </c>
      <c r="H90" s="128"/>
      <c r="I90" s="128"/>
      <c r="J90" s="128"/>
    </row>
  </sheetData>
  <mergeCells count="1">
    <mergeCell ref="H5:J5"/>
  </mergeCells>
  <pageMargins left="0.59055118110236227" right="0.19685039370078741" top="0.19685039370078741" bottom="0.39370078740157483" header="0.51181102362204722" footer="0.51181102362204722"/>
  <pageSetup paperSize="9" scale="72" fitToHeight="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H23" sqref="H23"/>
    </sheetView>
  </sheetViews>
  <sheetFormatPr defaultRowHeight="12.75" x14ac:dyDescent="0.2"/>
  <cols>
    <col min="1" max="1" width="9.140625" style="20"/>
    <col min="2" max="2" width="28.42578125" style="20" customWidth="1"/>
    <col min="3" max="3" width="11.85546875" style="20" customWidth="1"/>
    <col min="4" max="4" width="14.28515625" style="20" customWidth="1"/>
    <col min="5" max="5" width="16" style="20" customWidth="1"/>
    <col min="6" max="6" width="13" style="20" customWidth="1"/>
    <col min="7" max="7" width="11.7109375" style="20" customWidth="1"/>
    <col min="8" max="8" width="12.85546875" style="20" customWidth="1"/>
    <col min="9" max="9" width="12.5703125" style="20" customWidth="1"/>
    <col min="10" max="16384" width="9.140625" style="20"/>
  </cols>
  <sheetData>
    <row r="1" spans="1:16" x14ac:dyDescent="0.2">
      <c r="E1" s="118" t="s">
        <v>173</v>
      </c>
    </row>
    <row r="2" spans="1:16" x14ac:dyDescent="0.2">
      <c r="E2" s="118" t="s">
        <v>174</v>
      </c>
    </row>
    <row r="3" spans="1:16" x14ac:dyDescent="0.2">
      <c r="E3" s="118" t="s">
        <v>175</v>
      </c>
    </row>
    <row r="5" spans="1:16" ht="15" x14ac:dyDescent="0.2">
      <c r="A5" s="104"/>
      <c r="B5" s="104"/>
      <c r="C5" s="104"/>
      <c r="D5" s="104"/>
    </row>
    <row r="6" spans="1:16" s="110" customFormat="1" ht="38.25" x14ac:dyDescent="0.2">
      <c r="A6" s="105" t="s">
        <v>2</v>
      </c>
      <c r="B6" s="105"/>
      <c r="C6" s="105" t="s">
        <v>166</v>
      </c>
      <c r="D6" s="106" t="s">
        <v>167</v>
      </c>
      <c r="E6" s="107" t="s">
        <v>168</v>
      </c>
      <c r="F6" s="108" t="s">
        <v>169</v>
      </c>
      <c r="G6" s="108" t="s">
        <v>170</v>
      </c>
      <c r="H6" s="108" t="s">
        <v>171</v>
      </c>
      <c r="I6" s="108" t="s">
        <v>172</v>
      </c>
      <c r="J6" s="109"/>
      <c r="K6" s="109"/>
      <c r="L6" s="109"/>
      <c r="M6" s="109"/>
      <c r="N6" s="109"/>
      <c r="O6" s="109"/>
    </row>
    <row r="7" spans="1:16" ht="15" x14ac:dyDescent="0.2">
      <c r="A7" s="111"/>
      <c r="B7" s="111"/>
      <c r="C7" s="111"/>
      <c r="D7" s="111"/>
      <c r="E7" s="112"/>
      <c r="F7" s="112"/>
      <c r="G7" s="112"/>
      <c r="H7" s="112"/>
      <c r="I7" s="112"/>
    </row>
    <row r="8" spans="1:16" ht="15" x14ac:dyDescent="0.2">
      <c r="A8" s="111">
        <v>1</v>
      </c>
      <c r="B8" s="111" t="s">
        <v>163</v>
      </c>
      <c r="C8" s="111">
        <v>17177.400000000001</v>
      </c>
      <c r="D8" s="113">
        <f>C8/C8</f>
        <v>1</v>
      </c>
      <c r="E8" s="114">
        <v>2863.8</v>
      </c>
      <c r="F8" s="114">
        <v>2295</v>
      </c>
      <c r="G8" s="114">
        <v>2978.64</v>
      </c>
      <c r="H8" s="114">
        <v>400</v>
      </c>
      <c r="I8" s="114">
        <v>2699</v>
      </c>
      <c r="J8" s="115"/>
      <c r="K8" s="115"/>
      <c r="L8" s="115"/>
      <c r="M8" s="115"/>
      <c r="N8" s="115"/>
      <c r="O8" s="115"/>
      <c r="P8" s="115"/>
    </row>
    <row r="9" spans="1:16" ht="15" x14ac:dyDescent="0.2">
      <c r="A9" s="111"/>
      <c r="B9" s="111" t="s">
        <v>9</v>
      </c>
      <c r="C9" s="111"/>
      <c r="D9" s="113"/>
      <c r="E9" s="114"/>
      <c r="F9" s="114"/>
      <c r="G9" s="114"/>
      <c r="H9" s="114"/>
      <c r="I9" s="114"/>
      <c r="J9" s="115"/>
      <c r="K9" s="115"/>
      <c r="L9" s="115"/>
      <c r="M9" s="115"/>
      <c r="N9" s="115"/>
      <c r="O9" s="115"/>
      <c r="P9" s="115"/>
    </row>
    <row r="10" spans="1:16" ht="15" x14ac:dyDescent="0.2">
      <c r="A10" s="111" t="s">
        <v>10</v>
      </c>
      <c r="B10" s="111" t="s">
        <v>46</v>
      </c>
      <c r="C10" s="111">
        <v>5760.8</v>
      </c>
      <c r="D10" s="113">
        <f>C10/C8</f>
        <v>0.33537089431462269</v>
      </c>
      <c r="E10" s="114">
        <f>D10*E8</f>
        <v>960.43516713821657</v>
      </c>
      <c r="F10" s="114">
        <f>D10*F8</f>
        <v>769.6762024520591</v>
      </c>
      <c r="G10" s="114">
        <f>D10*G8</f>
        <v>998.94916064130769</v>
      </c>
      <c r="H10" s="114">
        <f>D10*H8</f>
        <v>134.14835772584908</v>
      </c>
      <c r="I10" s="114">
        <f>D10*I8</f>
        <v>905.1660437551667</v>
      </c>
      <c r="J10" s="115"/>
      <c r="K10" s="115"/>
      <c r="L10" s="115"/>
      <c r="M10" s="115"/>
      <c r="N10" s="115"/>
      <c r="O10" s="115"/>
      <c r="P10" s="115"/>
    </row>
    <row r="11" spans="1:16" ht="15" x14ac:dyDescent="0.2">
      <c r="A11" s="111" t="s">
        <v>13</v>
      </c>
      <c r="B11" s="111" t="s">
        <v>164</v>
      </c>
      <c r="C11" s="111">
        <v>7611.5</v>
      </c>
      <c r="D11" s="113">
        <f>C11/C8</f>
        <v>0.44311129740240079</v>
      </c>
      <c r="E11" s="114">
        <f>D11*E8</f>
        <v>1268.9821335009956</v>
      </c>
      <c r="F11" s="114">
        <f>D11*F8</f>
        <v>1016.9404275385099</v>
      </c>
      <c r="G11" s="114">
        <f>D11*G8</f>
        <v>1319.869034894687</v>
      </c>
      <c r="H11" s="114">
        <f>D11*H8</f>
        <v>177.24451896096031</v>
      </c>
      <c r="I11" s="114">
        <f>D11*I8</f>
        <v>1195.9573916890797</v>
      </c>
      <c r="J11" s="115"/>
      <c r="K11" s="115"/>
      <c r="L11" s="115"/>
      <c r="M11" s="115"/>
      <c r="N11" s="115"/>
      <c r="O11" s="115"/>
      <c r="P11" s="115"/>
    </row>
    <row r="12" spans="1:16" ht="15" x14ac:dyDescent="0.2">
      <c r="A12" s="111" t="s">
        <v>16</v>
      </c>
      <c r="B12" s="111" t="s">
        <v>165</v>
      </c>
      <c r="C12" s="111">
        <v>3805.1</v>
      </c>
      <c r="D12" s="113">
        <f>C12/C8</f>
        <v>0.22151780828297646</v>
      </c>
      <c r="E12" s="114">
        <f>D12*E8</f>
        <v>634.38269936078802</v>
      </c>
      <c r="F12" s="114">
        <f>D12*F8</f>
        <v>508.38337000943096</v>
      </c>
      <c r="G12" s="114">
        <f>D12*G8</f>
        <v>659.82180446400491</v>
      </c>
      <c r="H12" s="114">
        <f>D12*H8</f>
        <v>88.607123313190584</v>
      </c>
      <c r="I12" s="114">
        <f>D12*I8</f>
        <v>597.87656455575348</v>
      </c>
      <c r="J12" s="115"/>
      <c r="K12" s="115"/>
      <c r="L12" s="115"/>
      <c r="M12" s="115"/>
      <c r="N12" s="115"/>
      <c r="O12" s="115"/>
      <c r="P12" s="115"/>
    </row>
    <row r="13" spans="1:16" ht="15" x14ac:dyDescent="0.2">
      <c r="A13" s="111"/>
      <c r="B13" s="111"/>
      <c r="C13" s="111"/>
      <c r="D13" s="113"/>
      <c r="E13" s="114"/>
      <c r="F13" s="114"/>
      <c r="G13" s="114"/>
      <c r="H13" s="114"/>
      <c r="I13" s="114"/>
      <c r="J13" s="115"/>
      <c r="K13" s="115"/>
      <c r="L13" s="115"/>
      <c r="M13" s="115"/>
      <c r="N13" s="115"/>
      <c r="O13" s="115"/>
      <c r="P13" s="115"/>
    </row>
    <row r="14" spans="1:16" x14ac:dyDescent="0.2">
      <c r="D14" s="116"/>
    </row>
    <row r="15" spans="1:16" x14ac:dyDescent="0.2">
      <c r="B15" s="117" t="s">
        <v>176</v>
      </c>
      <c r="D15" s="11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Смета Расходов</vt:lpstr>
      <vt:lpstr>Распределение</vt:lpstr>
      <vt:lpstr>'Смета Расходов'!Заголовки_для_печати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Мауринов</dc:creator>
  <cp:lastModifiedBy>Мауринов</cp:lastModifiedBy>
  <cp:lastPrinted>2016-04-19T08:22:22Z</cp:lastPrinted>
  <dcterms:created xsi:type="dcterms:W3CDTF">2015-12-22T23:18:01Z</dcterms:created>
  <dcterms:modified xsi:type="dcterms:W3CDTF">2016-04-19T08:24:42Z</dcterms:modified>
</cp:coreProperties>
</file>